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Unit Mix" sheetId="2" state="visible" r:id="rId2"/>
    <sheet xmlns:r="http://schemas.openxmlformats.org/officeDocument/2006/relationships" name="Monthly Pro Forma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'Unit Mix'!$A$4:$L$104</definedName>
    <definedName name="_xlnm._FilterDatabase" localSheetId="2" hidden="1">'Monthly Pro Forma'!$A$4:$Q$104</definedName>
    <definedName name="_xlnm._FilterDatabase" localSheetId="3" hidden="1">'Assumptions'!$A$3:$B$18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0.0%"/>
    <numFmt numFmtId="166" formatCode="$#,##0.00;[Red]-$#,##0.00"/>
    <numFmt numFmtId="167" formatCode="#,##0 &quot;square feet&quot;"/>
    <numFmt numFmtId="168" formatCode="#,##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777"/>
      <sz val="10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4DD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164" fontId="5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3" fontId="5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3" fontId="5" fillId="4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3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right" vertical="center"/>
    </xf>
    <xf numFmtId="3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3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C95A2E"/>
        <sz val="10"/>
      </font>
      <fill>
        <patternFill patternType="solid">
          <fgColor rgb="00FCE8E1"/>
        </patternFill>
      </fill>
    </dxf>
    <dxf>
      <font>
        <name val="Calibri"/>
        <b val="1"/>
        <color rgb="00207A5B"/>
        <sz val="10"/>
      </font>
      <fill>
        <patternFill patternType="solid">
          <fgColor rgb="00E5F3E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ns0:chartSpace xmlns:ns0="http://schemas.openxmlformats.org/drawingml/2006/chart" xmlns:ns1="http://schemas.openxmlformats.org/drawingml/2006/main">
  <ns0:chart>
    <ns0:title>
      <ns0:tx>
        <ns0:rich>
          <ns1:bodyPr/>
          <ns1:p>
            <ns1:pPr>
              <ns1:defRPr/>
            </ns1:pPr>
            <ns1:r>
              <ns1:t>Annual Cash Flow After Debt Service</ns1:t>
            </ns1:r>
          </ns1:p>
        </ns0:rich>
      </ns0:tx>
    </ns0:title>
    <ns0:plotArea>
      <ns0:barChart>
        <ns0:barDir val="col"/>
        <ns0:grouping val="clustered"/>
        <ns0:ser>
          <ns0:idx val="0"/>
          <ns0:order val="0"/>
          <ns0:tx>
            <ns0:strRef>
              <ns0:f>'Summary'!I3</ns0:f>
            </ns0:strRef>
          </ns0:tx>
          <ns0:spPr>
            <ns1:solidFill>
              <ns1:srgbClr val="F0A91D"/>
            </ns1:solidFill>
            <ns1:ln>
              <ns1:solidFill>
                <ns1:srgbClr val="16324F"/>
              </ns1:solidFill>
              <ns1:prstDash val="solid"/>
            </ns1:ln>
          </ns0:spPr>
          <ns0:cat>
            <ns0:numRef>
              <ns0:f>'Summary'!$D$4:$D$8</ns0:f>
            </ns0:numRef>
          </ns0:cat>
          <ns0:val>
            <ns0:numRef>
              <ns0:f>'Summary'!$I$4:$I$8</ns0:f>
            </ns0:numRef>
          </ns0:val>
        </ns0:ser>
        <ns0:gapWidth val="150"/>
        <ns0:axId val="10"/>
        <ns0:axId val="100"/>
      </ns0:barChart>
      <ns0:catAx>
        <ns0:axId val="10"/>
        <ns0:scaling>
          <ns0:orientation val="minMax"/>
        </ns0:scaling>
        <ns0:axPos val="l"/>
        <ns0:title>
          <ns0:tx>
            <ns0:rich>
              <ns1:bodyPr/>
              <ns1:p>
                <ns1:pPr>
                  <ns1:defRPr/>
                </ns1:pPr>
                <ns1:r>
                  <ns1:t>Projection Year</ns1:t>
                </ns1:r>
              </ns1:p>
            </ns0:rich>
          </ns0:tx>
        </ns0:title>
        <ns0:majorTickMark val="none"/>
        <ns0:minorTickMark val="none"/>
        <ns0:crossAx val="100"/>
        <ns0:lblOffset val="100"/>
      </ns0:catAx>
      <ns0:valAx>
        <ns0:axId val="100"/>
        <ns0:scaling>
          <ns0:orientation val="minMax"/>
        </ns0:scaling>
        <ns0:axPos val="l"/>
        <ns0:majorGridlines/>
        <ns0:title>
          <ns0:tx>
            <ns0:rich>
              <ns1:bodyPr/>
              <ns1:p>
                <ns1:pPr>
                  <ns1:defRPr/>
                </ns1:pPr>
                <ns1:r>
                  <ns1:t>US Dollars</ns1:t>
                </ns1:r>
              </ns1:p>
            </ns0:rich>
          </ns0:tx>
        </ns0:title>
        <ns0:numFmt formatCode="$#,##0" sourceLinked="0"/>
        <ns0:majorTickMark val="none"/>
        <ns0:minorTickMark val="none"/>
        <ns0:crossAx val="10"/>
      </ns0:valAx>
    </ns0:plotArea>
    <ns0:plotVisOnly val="1"/>
    <ns0:dispBlanksAs val="gap"/>
  </ns0:chart>
</ns0: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45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3" customWidth="1" min="2" max="2"/>
    <col width="3" customWidth="1" min="3" max="3"/>
    <col width="16" customWidth="1" min="4" max="4"/>
    <col width="18" customWidth="1" min="5" max="5"/>
    <col width="21" customWidth="1" min="6" max="6"/>
    <col width="21" customWidth="1" min="7" max="7"/>
    <col width="21" customWidth="1" min="8" max="8"/>
    <col width="24" customWidth="1" min="9" max="9"/>
  </cols>
  <sheetData>
    <row r="1" ht="28" customHeight="1">
      <c r="A1" s="1" t="inlineStr">
        <is>
          <t>Self Storage Pro Forma Summary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0" customHeight="1">
      <c r="A2" s="4" t="inlineStr">
        <is>
          <t>Calculated indicators for Cedar Lantern Storage - Lake Briar (Fictional).</t>
        </is>
      </c>
    </row>
    <row r="3" ht="32" customHeight="1">
      <c r="A3" s="5" t="inlineStr">
        <is>
          <t>Facility</t>
        </is>
      </c>
      <c r="B3" s="6">
        <f>IFERROR('Assumptions'!$B$4,"")</f>
        <v/>
      </c>
      <c r="D3" s="7" t="inlineStr">
        <is>
          <t>Projection Year</t>
        </is>
      </c>
      <c r="E3" s="7" t="inlineStr">
        <is>
          <t>Average Occupancy</t>
        </is>
      </c>
      <c r="F3" s="7" t="inlineStr">
        <is>
          <t>Scheduled Rental Income</t>
        </is>
      </c>
      <c r="G3" s="7" t="inlineStr">
        <is>
          <t>Effective Gross Income</t>
        </is>
      </c>
      <c r="H3" s="7" t="inlineStr">
        <is>
          <t>Net Operating Income</t>
        </is>
      </c>
      <c r="I3" s="7" t="inlineStr">
        <is>
          <t>Cash Flow After Debt Service</t>
        </is>
      </c>
    </row>
    <row r="4" ht="24" customHeight="1">
      <c r="A4" s="5" t="inlineStr">
        <is>
          <t>Projection Start</t>
        </is>
      </c>
      <c r="B4" s="46">
        <f>IFERROR('Assumptions'!$B$5,"")</f>
        <v/>
      </c>
      <c r="D4" s="9">
        <f>IF(COUNT('Monthly Pro Forma'!$A$5:$A$16)=0,"","Year 1")</f>
        <v/>
      </c>
      <c r="E4" s="47">
        <f>IFERROR(AVERAGE('Monthly Pro Forma'!$E$5:$E$16),"")</f>
        <v/>
      </c>
      <c r="F4" s="48">
        <f>IF(COUNT('Monthly Pro Forma'!$A$5:$A$16)=0,"",IFERROR(SUM('Monthly Pro Forma'!$G$5:$G$16),""))</f>
        <v/>
      </c>
      <c r="G4" s="48">
        <f>IF(COUNT('Monthly Pro Forma'!$A$5:$A$16)=0,"",IFERROR(SUM('Monthly Pro Forma'!$J$5:$J$16),""))</f>
        <v/>
      </c>
      <c r="H4" s="48">
        <f>IF(COUNT('Monthly Pro Forma'!$A$5:$A$16)=0,"",IFERROR(SUM('Monthly Pro Forma'!$N$5:$N$16),""))</f>
        <v/>
      </c>
      <c r="I4" s="48">
        <f>IF(COUNT('Monthly Pro Forma'!$A$5:$A$16)=0,"",IFERROR(SUM('Monthly Pro Forma'!$P$5:$P$16),""))</f>
        <v/>
      </c>
    </row>
    <row r="5" ht="24" customHeight="1">
      <c r="A5" s="5" t="inlineStr">
        <is>
          <t>Projection Months</t>
        </is>
      </c>
      <c r="B5" s="12">
        <f>IFERROR('Assumptions'!$B$6,"")</f>
        <v/>
      </c>
      <c r="D5" s="13">
        <f>IF(COUNT('Monthly Pro Forma'!$A$17:$A$28)=0,"","Year 2")</f>
        <v/>
      </c>
      <c r="E5" s="49">
        <f>IFERROR(AVERAGE('Monthly Pro Forma'!$E$17:$E$28),"")</f>
        <v/>
      </c>
      <c r="F5" s="50">
        <f>IF(COUNT('Monthly Pro Forma'!$A$17:$A$28)=0,"",IFERROR(SUM('Monthly Pro Forma'!$G$17:$G$28),""))</f>
        <v/>
      </c>
      <c r="G5" s="50">
        <f>IF(COUNT('Monthly Pro Forma'!$A$17:$A$28)=0,"",IFERROR(SUM('Monthly Pro Forma'!$J$17:$J$28),""))</f>
        <v/>
      </c>
      <c r="H5" s="50">
        <f>IF(COUNT('Monthly Pro Forma'!$A$17:$A$28)=0,"",IFERROR(SUM('Monthly Pro Forma'!$N$17:$N$28),""))</f>
        <v/>
      </c>
      <c r="I5" s="50">
        <f>IF(COUNT('Monthly Pro Forma'!$A$17:$A$28)=0,"",IFERROR(SUM('Monthly Pro Forma'!$P$17:$P$28),""))</f>
        <v/>
      </c>
    </row>
    <row r="6" ht="24" customHeight="1">
      <c r="A6" s="5" t="inlineStr">
        <is>
          <t>Included Unit Types</t>
        </is>
      </c>
      <c r="B6" s="16">
        <f>IFERROR(COUNTIFS('Unit Mix'!$A$5:$A$104,'Assumptions'!$B$4,'Unit Mix'!$I$5:$I$104,"Included"),"")</f>
        <v/>
      </c>
      <c r="D6" s="9">
        <f>IF(COUNT('Monthly Pro Forma'!$A$29:$A$40)=0,"","Year 3")</f>
        <v/>
      </c>
      <c r="E6" s="47">
        <f>IFERROR(AVERAGE('Monthly Pro Forma'!$E$29:$E$40),"")</f>
        <v/>
      </c>
      <c r="F6" s="48">
        <f>IF(COUNT('Monthly Pro Forma'!$A$29:$A$40)=0,"",IFERROR(SUM('Monthly Pro Forma'!$G$29:$G$40),""))</f>
        <v/>
      </c>
      <c r="G6" s="48">
        <f>IF(COUNT('Monthly Pro Forma'!$A$29:$A$40)=0,"",IFERROR(SUM('Monthly Pro Forma'!$J$29:$J$40),""))</f>
        <v/>
      </c>
      <c r="H6" s="48">
        <f>IF(COUNT('Monthly Pro Forma'!$A$29:$A$40)=0,"",IFERROR(SUM('Monthly Pro Forma'!$N$29:$N$40),""))</f>
        <v/>
      </c>
      <c r="I6" s="48">
        <f>IF(COUNT('Monthly Pro Forma'!$A$29:$A$40)=0,"",IFERROR(SUM('Monthly Pro Forma'!$P$29:$P$40),""))</f>
        <v/>
      </c>
    </row>
    <row r="7" ht="24" customHeight="1">
      <c r="A7" s="5" t="inlineStr">
        <is>
          <t>Available Units</t>
        </is>
      </c>
      <c r="B7" s="12">
        <f>IF(COUNT('Monthly Pro Forma'!$A$5:$A$104)=0,"",IFERROR(INDEX('Monthly Pro Forma'!$C$5:$C$104,1),""))</f>
        <v/>
      </c>
      <c r="D7" s="13">
        <f>IF(COUNT('Monthly Pro Forma'!$A$41:$A$52)=0,"","Year 4")</f>
        <v/>
      </c>
      <c r="E7" s="49">
        <f>IFERROR(AVERAGE('Monthly Pro Forma'!$E$41:$E$52),"")</f>
        <v/>
      </c>
      <c r="F7" s="50">
        <f>IF(COUNT('Monthly Pro Forma'!$A$41:$A$52)=0,"",IFERROR(SUM('Monthly Pro Forma'!$G$41:$G$52),""))</f>
        <v/>
      </c>
      <c r="G7" s="50">
        <f>IF(COUNT('Monthly Pro Forma'!$A$41:$A$52)=0,"",IFERROR(SUM('Monthly Pro Forma'!$J$41:$J$52),""))</f>
        <v/>
      </c>
      <c r="H7" s="50">
        <f>IF(COUNT('Monthly Pro Forma'!$A$41:$A$52)=0,"",IFERROR(SUM('Monthly Pro Forma'!$N$41:$N$52),""))</f>
        <v/>
      </c>
      <c r="I7" s="50">
        <f>IF(COUNT('Monthly Pro Forma'!$A$41:$A$52)=0,"",IFERROR(SUM('Monthly Pro Forma'!$P$41:$P$52),""))</f>
        <v/>
      </c>
    </row>
    <row r="8" ht="24" customHeight="1">
      <c r="A8" s="5" t="inlineStr">
        <is>
          <t>Rentable Square Feet</t>
        </is>
      </c>
      <c r="B8" s="51">
        <f>IFERROR(SUMIFS('Unit Mix'!$K$5:$K$104,'Unit Mix'!$A$5:$A$104,'Assumptions'!$B$4,'Unit Mix'!$I$5:$I$104,"Included"),"")</f>
        <v/>
      </c>
      <c r="D8" s="9">
        <f>IF(COUNT('Monthly Pro Forma'!$A$53:$A$64)=0,"","Year 5")</f>
        <v/>
      </c>
      <c r="E8" s="47">
        <f>IFERROR(AVERAGE('Monthly Pro Forma'!$E$53:$E$64),"")</f>
        <v/>
      </c>
      <c r="F8" s="48">
        <f>IF(COUNT('Monthly Pro Forma'!$A$53:$A$64)=0,"",IFERROR(SUM('Monthly Pro Forma'!$G$53:$G$64),""))</f>
        <v/>
      </c>
      <c r="G8" s="48">
        <f>IF(COUNT('Monthly Pro Forma'!$A$53:$A$64)=0,"",IFERROR(SUM('Monthly Pro Forma'!$J$53:$J$64),""))</f>
        <v/>
      </c>
      <c r="H8" s="48">
        <f>IF(COUNT('Monthly Pro Forma'!$A$53:$A$64)=0,"",IFERROR(SUM('Monthly Pro Forma'!$N$53:$N$64),""))</f>
        <v/>
      </c>
      <c r="I8" s="48">
        <f>IF(COUNT('Monthly Pro Forma'!$A$53:$A$64)=0,"",IFERROR(SUM('Monthly Pro Forma'!$P$53:$P$64),""))</f>
        <v/>
      </c>
    </row>
    <row r="9" ht="24" customHeight="1">
      <c r="A9" s="5" t="inlineStr">
        <is>
          <t>Month 1 Occupancy</t>
        </is>
      </c>
      <c r="B9" s="52">
        <f>IFERROR(INDEX('Monthly Pro Forma'!$E$5:$E$104,1),"")</f>
        <v/>
      </c>
    </row>
    <row r="10" ht="24" customHeight="1">
      <c r="A10" s="5" t="inlineStr">
        <is>
          <t>Final Projected Month Occupancy</t>
        </is>
      </c>
      <c r="B10" s="53">
        <f>IFERROR(INDEX('Monthly Pro Forma'!$E$5:$E$104,'Assumptions'!$B$6),"")</f>
        <v/>
      </c>
    </row>
    <row r="11" ht="24" customHeight="1">
      <c r="A11" s="5" t="inlineStr">
        <is>
          <t>Five-Year Effective Gross Income</t>
        </is>
      </c>
      <c r="B11" s="54">
        <f>IF(COUNT('Monthly Pro Forma'!$J$5:$J$104)=0,"",SUM('Monthly Pro Forma'!$J$5:$J$104))</f>
        <v/>
      </c>
    </row>
    <row r="12" ht="24" customHeight="1">
      <c r="A12" s="5" t="inlineStr">
        <is>
          <t>Five-Year Net Operating Income</t>
        </is>
      </c>
      <c r="B12" s="55">
        <f>IF(COUNT('Monthly Pro Forma'!$N$5:$N$104)=0,"",SUM('Monthly Pro Forma'!$N$5:$N$104))</f>
        <v/>
      </c>
    </row>
    <row r="13" ht="24" customHeight="1">
      <c r="A13" s="5" t="inlineStr">
        <is>
          <t>Five-Year Cash Flow After Debt Service</t>
        </is>
      </c>
      <c r="B13" s="54">
        <f>IF(COUNT('Monthly Pro Forma'!$P$5:$P$104)=0,"",SUM('Monthly Pro Forma'!$P$5:$P$104))</f>
        <v/>
      </c>
    </row>
    <row r="14" ht="24" customHeight="1">
      <c r="A14" s="5" t="inlineStr">
        <is>
          <t>Unit Mix Rows Marked Review</t>
        </is>
      </c>
      <c r="B14" s="16">
        <f>IFERROR(COUNTIFS('Unit Mix'!$A$5:$A$104,'Assumptions'!$B$4,'Unit Mix'!$I$5:$I$104,"Review"),"")</f>
        <v/>
      </c>
    </row>
    <row r="15" ht="24" customHeight="1">
      <c r="A15" s="5" t="inlineStr">
        <is>
          <t>Monthly Periods Marked Review</t>
        </is>
      </c>
      <c r="B15" s="12">
        <f>IFERROR(COUNTIF('Monthly Pro Forma'!$Q$5:$Q$104,"Review"),"")</f>
        <v/>
      </c>
    </row>
  </sheetData>
  <mergeCells count="1">
    <mergeCell ref="A1:I1"/>
  </mergeCells>
  <conditionalFormatting sqref="B13">
    <cfRule type="expression" priority="1" dxfId="0">
      <formula>AND(B13&lt;&gt;"",B13&lt;0)</formula>
    </cfRule>
    <cfRule type="expression" priority="2" dxfId="1">
      <formula>AND(B13&lt;&gt;"",B13&gt;=0)</formula>
    </cfRule>
  </conditionalFormatting>
  <conditionalFormatting sqref="B14:B15">
    <cfRule type="expression" priority="3" dxfId="0">
      <formula>B14&gt;0</formula>
    </cfRule>
  </conditionalFormatting>
  <conditionalFormatting sqref="I4:I8">
    <cfRule type="expression" priority="4" dxfId="0">
      <formula>AND(I4&lt;&gt;"",I4&lt;0)</formula>
    </cfRule>
    <cfRule type="expression" priority="5" dxfId="1">
      <formula>AND(I4&lt;&gt;"",I4&gt;=0)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17" customWidth="1" min="3" max="3"/>
    <col width="11" customWidth="1" min="4" max="4"/>
    <col width="18" customWidth="1" min="5" max="5"/>
    <col width="17" customWidth="1" min="6" max="6"/>
    <col width="18" customWidth="1" min="7" max="7"/>
    <col width="21" customWidth="1" min="8" max="8"/>
    <col width="13" customWidth="1" min="9" max="9"/>
    <col width="38" customWidth="1" min="10" max="10"/>
    <col width="19" customWidth="1" min="11" max="11"/>
    <col width="21" customWidth="1" min="12" max="12"/>
  </cols>
  <sheetData>
    <row r="1" ht="28" customHeight="1">
      <c r="A1" s="1" t="inlineStr">
        <is>
          <t>Self Storage Pro Forma Unit Mix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 ht="20" customHeight="1">
      <c r="A2" s="4" t="inlineStr">
        <is>
          <t>Yellow cells are editable inputs. Rows marked Review are excluded from the monthly scenario until reviewed.</t>
        </is>
      </c>
    </row>
    <row r="3"/>
    <row r="4" ht="32" customHeight="1">
      <c r="A4" s="22" t="inlineStr">
        <is>
          <t>Facility</t>
        </is>
      </c>
      <c r="B4" s="22" t="inlineStr">
        <is>
          <t>Unit Type</t>
        </is>
      </c>
      <c r="C4" s="22" t="inlineStr">
        <is>
          <t>Size (Square Feet)</t>
        </is>
      </c>
      <c r="D4" s="22" t="inlineStr">
        <is>
          <t>Units</t>
        </is>
      </c>
      <c r="E4" s="22" t="inlineStr">
        <is>
          <t>Monthly Rent per Unit</t>
        </is>
      </c>
      <c r="F4" s="22" t="inlineStr">
        <is>
          <t>Starting Occupancy</t>
        </is>
      </c>
      <c r="G4" s="22" t="inlineStr">
        <is>
          <t>Stabilized Occupancy</t>
        </is>
      </c>
      <c r="H4" s="22" t="inlineStr">
        <is>
          <t>Owner</t>
        </is>
      </c>
      <c r="I4" s="22" t="inlineStr">
        <is>
          <t>Status</t>
        </is>
      </c>
      <c r="J4" s="22" t="inlineStr">
        <is>
          <t>Notes</t>
        </is>
      </c>
      <c r="K4" s="22" t="inlineStr">
        <is>
          <t>Rentable Square Feet</t>
        </is>
      </c>
      <c r="L4" s="22" t="inlineStr">
        <is>
          <t>Stabilized Monthly Rent</t>
        </is>
      </c>
    </row>
    <row r="5">
      <c r="A5" s="23" t="inlineStr">
        <is>
          <t>Cedar Lantern Storage - Lake Briar (Fictional)</t>
        </is>
      </c>
      <c r="B5" s="23" t="inlineStr">
        <is>
          <t>5 x 5 Climate-Controlled</t>
        </is>
      </c>
      <c r="C5" s="56" t="n">
        <v>25</v>
      </c>
      <c r="D5" s="25" t="n">
        <v>24</v>
      </c>
      <c r="E5" s="57" t="n">
        <v>59</v>
      </c>
      <c r="F5" s="58" t="n">
        <v>0.62</v>
      </c>
      <c r="G5" s="58" t="n">
        <v>0.9</v>
      </c>
      <c r="H5" s="28" t="inlineStr">
        <is>
          <t>Facility Manager</t>
        </is>
      </c>
      <c r="I5" s="28" t="inlineStr">
        <is>
          <t>Included</t>
        </is>
      </c>
      <c r="J5" s="23" t="inlineStr">
        <is>
          <t>Interior climate-controlled wing.</t>
        </is>
      </c>
      <c r="K5" s="59">
        <f>IF(OR($A5="",$C5="",$D5=""),"",IFERROR($C5*$D5,""))</f>
        <v/>
      </c>
      <c r="L5" s="50">
        <f>IF(OR($A5="",$D5="",$E5="",$G5="",$I5&lt;&gt;"Included"),"",IFERROR($D5*$E5*$G5,""))</f>
        <v/>
      </c>
    </row>
    <row r="6">
      <c r="A6" s="23" t="inlineStr">
        <is>
          <t>Cedar Lantern Storage - Lake Briar (Fictional)</t>
        </is>
      </c>
      <c r="B6" s="23" t="inlineStr">
        <is>
          <t>5 x 10 Climate-Controlled</t>
        </is>
      </c>
      <c r="C6" s="56" t="n">
        <v>50</v>
      </c>
      <c r="D6" s="25" t="n">
        <v>40</v>
      </c>
      <c r="E6" s="57" t="n">
        <v>89</v>
      </c>
      <c r="F6" s="58" t="n">
        <v>0.65</v>
      </c>
      <c r="G6" s="58" t="n">
        <v>0.92</v>
      </c>
      <c r="H6" s="28" t="inlineStr">
        <is>
          <t>Facility Manager</t>
        </is>
      </c>
      <c r="I6" s="28" t="inlineStr">
        <is>
          <t>Included</t>
        </is>
      </c>
      <c r="J6" s="23" t="inlineStr">
        <is>
          <t>Near the fictional office corridor.</t>
        </is>
      </c>
      <c r="K6" s="60">
        <f>IF(OR($A6="",$C6="",$D6=""),"",IFERROR($C6*$D6,""))</f>
        <v/>
      </c>
      <c r="L6" s="48">
        <f>IF(OR($A6="",$D6="",$E6="",$G6="",$I6&lt;&gt;"Included"),"",IFERROR($D6*$E6*$G6,""))</f>
        <v/>
      </c>
    </row>
    <row r="7">
      <c r="A7" s="23" t="inlineStr">
        <is>
          <t>Cedar Lantern Storage - Lake Briar (Fictional)</t>
        </is>
      </c>
      <c r="B7" s="23" t="inlineStr">
        <is>
          <t>10 x 10 Climate-Controlled</t>
        </is>
      </c>
      <c r="C7" s="56" t="n">
        <v>100</v>
      </c>
      <c r="D7" s="25" t="n">
        <v>48</v>
      </c>
      <c r="E7" s="57" t="n">
        <v>149</v>
      </c>
      <c r="F7" s="58" t="n">
        <v>0.7</v>
      </c>
      <c r="G7" s="58" t="n">
        <v>0.9399999999999999</v>
      </c>
      <c r="H7" s="28" t="inlineStr">
        <is>
          <t>Regional Operator</t>
        </is>
      </c>
      <c r="I7" s="28" t="inlineStr">
        <is>
          <t>Included</t>
        </is>
      </c>
      <c r="J7" s="23" t="inlineStr">
        <is>
          <t>Core climate-controlled unit type.</t>
        </is>
      </c>
      <c r="K7" s="59">
        <f>IF(OR($A7="",$C7="",$D7=""),"",IFERROR($C7*$D7,""))</f>
        <v/>
      </c>
      <c r="L7" s="50">
        <f>IF(OR($A7="",$D7="",$E7="",$G7="",$I7&lt;&gt;"Included"),"",IFERROR($D7*$E7*$G7,""))</f>
        <v/>
      </c>
    </row>
    <row r="8">
      <c r="A8" s="23" t="inlineStr">
        <is>
          <t>Cedar Lantern Storage - Lake Briar (Fictional)</t>
        </is>
      </c>
      <c r="B8" s="23" t="inlineStr">
        <is>
          <t>10 x 15 Climate-Controlled</t>
        </is>
      </c>
      <c r="C8" s="56" t="n">
        <v>150</v>
      </c>
      <c r="D8" s="25" t="n">
        <v>28</v>
      </c>
      <c r="E8" s="57" t="n">
        <v>199</v>
      </c>
      <c r="F8" s="58" t="n">
        <v>0.72</v>
      </c>
      <c r="G8" s="58" t="n">
        <v>0.9399999999999999</v>
      </c>
      <c r="H8" s="28" t="inlineStr">
        <is>
          <t>Regional Operator</t>
        </is>
      </c>
      <c r="I8" s="28" t="inlineStr">
        <is>
          <t>Included</t>
        </is>
      </c>
      <c r="J8" s="23" t="inlineStr">
        <is>
          <t>Interior large-unit category.</t>
        </is>
      </c>
      <c r="K8" s="60">
        <f>IF(OR($A8="",$C8="",$D8=""),"",IFERROR($C8*$D8,""))</f>
        <v/>
      </c>
      <c r="L8" s="48">
        <f>IF(OR($A8="",$D8="",$E8="",$G8="",$I8&lt;&gt;"Included"),"",IFERROR($D8*$E8*$G8,""))</f>
        <v/>
      </c>
    </row>
    <row r="9">
      <c r="A9" s="23" t="inlineStr">
        <is>
          <t>Cedar Lantern Storage - Lake Briar (Fictional)</t>
        </is>
      </c>
      <c r="B9" s="23" t="inlineStr">
        <is>
          <t>10 x 20 Climate-Controlled</t>
        </is>
      </c>
      <c r="C9" s="56" t="n">
        <v>200</v>
      </c>
      <c r="D9" s="25" t="n">
        <v>18</v>
      </c>
      <c r="E9" s="57" t="n">
        <v>259</v>
      </c>
      <c r="F9" s="58" t="n">
        <v>0.68</v>
      </c>
      <c r="G9" s="58" t="n">
        <v>0.92</v>
      </c>
      <c r="H9" s="28" t="inlineStr">
        <is>
          <t>Asset Manager</t>
        </is>
      </c>
      <c r="I9" s="28" t="inlineStr">
        <is>
          <t>Included</t>
        </is>
      </c>
      <c r="J9" s="23" t="inlineStr">
        <is>
          <t>Limited large climate-controlled inventory.</t>
        </is>
      </c>
      <c r="K9" s="59">
        <f>IF(OR($A9="",$C9="",$D9=""),"",IFERROR($C9*$D9,""))</f>
        <v/>
      </c>
      <c r="L9" s="50">
        <f>IF(OR($A9="",$D9="",$E9="",$G9="",$I9&lt;&gt;"Included"),"",IFERROR($D9*$E9*$G9,""))</f>
        <v/>
      </c>
    </row>
    <row r="10">
      <c r="A10" s="23" t="inlineStr">
        <is>
          <t>Cedar Lantern Storage - Lake Briar (Fictional)</t>
        </is>
      </c>
      <c r="B10" s="23" t="inlineStr">
        <is>
          <t>5 x 10 Drive-Up</t>
        </is>
      </c>
      <c r="C10" s="56" t="n">
        <v>50</v>
      </c>
      <c r="D10" s="25" t="n">
        <v>32</v>
      </c>
      <c r="E10" s="57" t="n">
        <v>79</v>
      </c>
      <c r="F10" s="58" t="n">
        <v>0.58</v>
      </c>
      <c r="G10" s="58" t="n">
        <v>0.88</v>
      </c>
      <c r="H10" s="28" t="inlineStr">
        <is>
          <t>Facility Manager</t>
        </is>
      </c>
      <c r="I10" s="28" t="inlineStr">
        <is>
          <t>Included</t>
        </is>
      </c>
      <c r="J10" s="23" t="inlineStr">
        <is>
          <t>Fictional east drive aisle.</t>
        </is>
      </c>
      <c r="K10" s="60">
        <f>IF(OR($A10="",$C10="",$D10=""),"",IFERROR($C10*$D10,""))</f>
        <v/>
      </c>
      <c r="L10" s="48">
        <f>IF(OR($A10="",$D10="",$E10="",$G10="",$I10&lt;&gt;"Included"),"",IFERROR($D10*$E10*$G10,""))</f>
        <v/>
      </c>
    </row>
    <row r="11">
      <c r="A11" s="23" t="inlineStr">
        <is>
          <t>Cedar Lantern Storage - Lake Briar (Fictional)</t>
        </is>
      </c>
      <c r="B11" s="23" t="inlineStr">
        <is>
          <t>10 x 10 Drive-Up</t>
        </is>
      </c>
      <c r="C11" s="56" t="n">
        <v>100</v>
      </c>
      <c r="D11" s="25" t="n">
        <v>54</v>
      </c>
      <c r="E11" s="57" t="n">
        <v>129</v>
      </c>
      <c r="F11" s="58" t="n">
        <v>0.66</v>
      </c>
      <c r="G11" s="58" t="n">
        <v>0.93</v>
      </c>
      <c r="H11" s="28" t="inlineStr">
        <is>
          <t>Facility Manager</t>
        </is>
      </c>
      <c r="I11" s="28" t="inlineStr">
        <is>
          <t>Included</t>
        </is>
      </c>
      <c r="J11" s="23" t="inlineStr">
        <is>
          <t>Largest drive-up category.</t>
        </is>
      </c>
      <c r="K11" s="59">
        <f>IF(OR($A11="",$C11="",$D11=""),"",IFERROR($C11*$D11,""))</f>
        <v/>
      </c>
      <c r="L11" s="50">
        <f>IF(OR($A11="",$D11="",$E11="",$G11="",$I11&lt;&gt;"Included"),"",IFERROR($D11*$E11*$G11,""))</f>
        <v/>
      </c>
    </row>
    <row r="12">
      <c r="A12" s="23" t="inlineStr">
        <is>
          <t>Cedar Lantern Storage - Lake Briar (Fictional)</t>
        </is>
      </c>
      <c r="B12" s="23" t="inlineStr">
        <is>
          <t>10 x 20 Drive-Up</t>
        </is>
      </c>
      <c r="C12" s="56" t="n">
        <v>200</v>
      </c>
      <c r="D12" s="25" t="n">
        <v>26</v>
      </c>
      <c r="E12" s="57" t="n">
        <v>219</v>
      </c>
      <c r="F12" s="58" t="n">
        <v>0.64</v>
      </c>
      <c r="G12" s="58" t="n">
        <v>0.91</v>
      </c>
      <c r="H12" s="28" t="inlineStr">
        <is>
          <t>Regional Operator</t>
        </is>
      </c>
      <c r="I12" s="28" t="inlineStr">
        <is>
          <t>Included</t>
        </is>
      </c>
      <c r="J12" s="23" t="inlineStr">
        <is>
          <t>Fictional west drive aisle.</t>
        </is>
      </c>
      <c r="K12" s="60">
        <f>IF(OR($A12="",$C12="",$D12=""),"",IFERROR($C12*$D12,""))</f>
        <v/>
      </c>
      <c r="L12" s="48">
        <f>IF(OR($A12="",$D12="",$E12="",$G12="",$I12&lt;&gt;"Included"),"",IFERROR($D12*$E12*$G12,""))</f>
        <v/>
      </c>
    </row>
    <row r="13">
      <c r="A13" s="23" t="inlineStr">
        <is>
          <t>Cedar Lantern Storage - Lake Briar (Fictional)</t>
        </is>
      </c>
      <c r="B13" s="23" t="inlineStr">
        <is>
          <t>10 x 20 Parking</t>
        </is>
      </c>
      <c r="C13" s="56" t="n">
        <v>200</v>
      </c>
      <c r="D13" s="25" t="n">
        <v>20</v>
      </c>
      <c r="E13" s="57" t="n">
        <v>95</v>
      </c>
      <c r="F13" s="58" t="n">
        <v>0.5</v>
      </c>
      <c r="G13" s="58" t="n">
        <v>0.85</v>
      </c>
      <c r="H13" s="28" t="inlineStr">
        <is>
          <t>Asset Manager</t>
        </is>
      </c>
      <c r="I13" s="28" t="inlineStr">
        <is>
          <t>Included</t>
        </is>
      </c>
      <c r="J13" s="23" t="inlineStr">
        <is>
          <t>Open parking scenario area.</t>
        </is>
      </c>
      <c r="K13" s="59">
        <f>IF(OR($A13="",$C13="",$D13=""),"",IFERROR($C13*$D13,""))</f>
        <v/>
      </c>
      <c r="L13" s="50">
        <f>IF(OR($A13="",$D13="",$E13="",$G13="",$I13&lt;&gt;"Included"),"",IFERROR($D13*$E13*$G13,""))</f>
        <v/>
      </c>
    </row>
    <row r="14">
      <c r="A14" s="23" t="inlineStr">
        <is>
          <t>Cedar Lantern Storage - Lake Briar (Fictional)</t>
        </is>
      </c>
      <c r="B14" s="23" t="inlineStr">
        <is>
          <t>12 x 30 Parking</t>
        </is>
      </c>
      <c r="C14" s="56" t="n">
        <v>360</v>
      </c>
      <c r="D14" s="25" t="n">
        <v>12</v>
      </c>
      <c r="E14" s="57" t="n">
        <v>145</v>
      </c>
      <c r="F14" s="58" t="n">
        <v>0.42</v>
      </c>
      <c r="G14" s="58" t="n">
        <v>0.8</v>
      </c>
      <c r="H14" s="28" t="inlineStr">
        <is>
          <t>Acquisition Analyst</t>
        </is>
      </c>
      <c r="I14" s="28" t="inlineStr">
        <is>
          <t>Review</t>
        </is>
      </c>
      <c r="J14" s="23" t="inlineStr">
        <is>
          <t>Confirm whether this fictional parking area belongs in the modeled mix.</t>
        </is>
      </c>
      <c r="K14" s="60">
        <f>IF(OR($A14="",$C14="",$D14=""),"",IFERROR($C14*$D14,""))</f>
        <v/>
      </c>
      <c r="L14" s="48">
        <f>IF(OR($A14="",$D14="",$E14="",$G14="",$I14&lt;&gt;"Included"),"",IFERROR($D14*$E14*$G14,""))</f>
        <v/>
      </c>
    </row>
    <row r="15">
      <c r="A15" s="23" t="n"/>
      <c r="B15" s="23" t="n"/>
      <c r="C15" s="56" t="n"/>
      <c r="D15" s="25" t="n"/>
      <c r="E15" s="57" t="n"/>
      <c r="F15" s="58" t="n"/>
      <c r="G15" s="58" t="n"/>
      <c r="H15" s="28" t="n"/>
      <c r="I15" s="28" t="n"/>
      <c r="J15" s="23" t="n"/>
      <c r="K15" s="59">
        <f>IF(OR($A15="",$C15="",$D15=""),"",IFERROR($C15*$D15,""))</f>
        <v/>
      </c>
      <c r="L15" s="50">
        <f>IF(OR($A15="",$D15="",$E15="",$G15="",$I15&lt;&gt;"Included"),"",IFERROR($D15*$E15*$G15,""))</f>
        <v/>
      </c>
    </row>
    <row r="16">
      <c r="A16" s="23" t="n"/>
      <c r="B16" s="23" t="n"/>
      <c r="C16" s="56" t="n"/>
      <c r="D16" s="25" t="n"/>
      <c r="E16" s="57" t="n"/>
      <c r="F16" s="58" t="n"/>
      <c r="G16" s="58" t="n"/>
      <c r="H16" s="28" t="n"/>
      <c r="I16" s="28" t="n"/>
      <c r="J16" s="23" t="n"/>
      <c r="K16" s="60">
        <f>IF(OR($A16="",$C16="",$D16=""),"",IFERROR($C16*$D16,""))</f>
        <v/>
      </c>
      <c r="L16" s="48">
        <f>IF(OR($A16="",$D16="",$E16="",$G16="",$I16&lt;&gt;"Included"),"",IFERROR($D16*$E16*$G16,""))</f>
        <v/>
      </c>
    </row>
    <row r="17">
      <c r="A17" s="23" t="n"/>
      <c r="B17" s="23" t="n"/>
      <c r="C17" s="56" t="n"/>
      <c r="D17" s="25" t="n"/>
      <c r="E17" s="57" t="n"/>
      <c r="F17" s="58" t="n"/>
      <c r="G17" s="58" t="n"/>
      <c r="H17" s="28" t="n"/>
      <c r="I17" s="28" t="n"/>
      <c r="J17" s="23" t="n"/>
      <c r="K17" s="59">
        <f>IF(OR($A17="",$C17="",$D17=""),"",IFERROR($C17*$D17,""))</f>
        <v/>
      </c>
      <c r="L17" s="50">
        <f>IF(OR($A17="",$D17="",$E17="",$G17="",$I17&lt;&gt;"Included"),"",IFERROR($D17*$E17*$G17,""))</f>
        <v/>
      </c>
    </row>
    <row r="18">
      <c r="A18" s="23" t="n"/>
      <c r="B18" s="23" t="n"/>
      <c r="C18" s="56" t="n"/>
      <c r="D18" s="25" t="n"/>
      <c r="E18" s="57" t="n"/>
      <c r="F18" s="58" t="n"/>
      <c r="G18" s="58" t="n"/>
      <c r="H18" s="28" t="n"/>
      <c r="I18" s="28" t="n"/>
      <c r="J18" s="23" t="n"/>
      <c r="K18" s="60">
        <f>IF(OR($A18="",$C18="",$D18=""),"",IFERROR($C18*$D18,""))</f>
        <v/>
      </c>
      <c r="L18" s="48">
        <f>IF(OR($A18="",$D18="",$E18="",$G18="",$I18&lt;&gt;"Included"),"",IFERROR($D18*$E18*$G18,""))</f>
        <v/>
      </c>
    </row>
    <row r="19">
      <c r="A19" s="23" t="n"/>
      <c r="B19" s="23" t="n"/>
      <c r="C19" s="56" t="n"/>
      <c r="D19" s="25" t="n"/>
      <c r="E19" s="57" t="n"/>
      <c r="F19" s="58" t="n"/>
      <c r="G19" s="58" t="n"/>
      <c r="H19" s="28" t="n"/>
      <c r="I19" s="28" t="n"/>
      <c r="J19" s="23" t="n"/>
      <c r="K19" s="59">
        <f>IF(OR($A19="",$C19="",$D19=""),"",IFERROR($C19*$D19,""))</f>
        <v/>
      </c>
      <c r="L19" s="50">
        <f>IF(OR($A19="",$D19="",$E19="",$G19="",$I19&lt;&gt;"Included"),"",IFERROR($D19*$E19*$G19,""))</f>
        <v/>
      </c>
    </row>
    <row r="20">
      <c r="A20" s="23" t="n"/>
      <c r="B20" s="23" t="n"/>
      <c r="C20" s="56" t="n"/>
      <c r="D20" s="25" t="n"/>
      <c r="E20" s="57" t="n"/>
      <c r="F20" s="58" t="n"/>
      <c r="G20" s="58" t="n"/>
      <c r="H20" s="28" t="n"/>
      <c r="I20" s="28" t="n"/>
      <c r="J20" s="23" t="n"/>
      <c r="K20" s="60">
        <f>IF(OR($A20="",$C20="",$D20=""),"",IFERROR($C20*$D20,""))</f>
        <v/>
      </c>
      <c r="L20" s="48">
        <f>IF(OR($A20="",$D20="",$E20="",$G20="",$I20&lt;&gt;"Included"),"",IFERROR($D20*$E20*$G20,""))</f>
        <v/>
      </c>
    </row>
    <row r="21">
      <c r="A21" s="23" t="n"/>
      <c r="B21" s="23" t="n"/>
      <c r="C21" s="56" t="n"/>
      <c r="D21" s="25" t="n"/>
      <c r="E21" s="57" t="n"/>
      <c r="F21" s="58" t="n"/>
      <c r="G21" s="58" t="n"/>
      <c r="H21" s="28" t="n"/>
      <c r="I21" s="28" t="n"/>
      <c r="J21" s="23" t="n"/>
      <c r="K21" s="59">
        <f>IF(OR($A21="",$C21="",$D21=""),"",IFERROR($C21*$D21,""))</f>
        <v/>
      </c>
      <c r="L21" s="50">
        <f>IF(OR($A21="",$D21="",$E21="",$G21="",$I21&lt;&gt;"Included"),"",IFERROR($D21*$E21*$G21,""))</f>
        <v/>
      </c>
    </row>
    <row r="22">
      <c r="A22" s="23" t="n"/>
      <c r="B22" s="23" t="n"/>
      <c r="C22" s="56" t="n"/>
      <c r="D22" s="25" t="n"/>
      <c r="E22" s="57" t="n"/>
      <c r="F22" s="58" t="n"/>
      <c r="G22" s="58" t="n"/>
      <c r="H22" s="28" t="n"/>
      <c r="I22" s="28" t="n"/>
      <c r="J22" s="23" t="n"/>
      <c r="K22" s="60">
        <f>IF(OR($A22="",$C22="",$D22=""),"",IFERROR($C22*$D22,""))</f>
        <v/>
      </c>
      <c r="L22" s="48">
        <f>IF(OR($A22="",$D22="",$E22="",$G22="",$I22&lt;&gt;"Included"),"",IFERROR($D22*$E22*$G22,""))</f>
        <v/>
      </c>
    </row>
    <row r="23">
      <c r="A23" s="23" t="n"/>
      <c r="B23" s="23" t="n"/>
      <c r="C23" s="56" t="n"/>
      <c r="D23" s="25" t="n"/>
      <c r="E23" s="57" t="n"/>
      <c r="F23" s="58" t="n"/>
      <c r="G23" s="58" t="n"/>
      <c r="H23" s="28" t="n"/>
      <c r="I23" s="28" t="n"/>
      <c r="J23" s="23" t="n"/>
      <c r="K23" s="59">
        <f>IF(OR($A23="",$C23="",$D23=""),"",IFERROR($C23*$D23,""))</f>
        <v/>
      </c>
      <c r="L23" s="50">
        <f>IF(OR($A23="",$D23="",$E23="",$G23="",$I23&lt;&gt;"Included"),"",IFERROR($D23*$E23*$G23,""))</f>
        <v/>
      </c>
    </row>
    <row r="24">
      <c r="A24" s="23" t="n"/>
      <c r="B24" s="23" t="n"/>
      <c r="C24" s="56" t="n"/>
      <c r="D24" s="25" t="n"/>
      <c r="E24" s="57" t="n"/>
      <c r="F24" s="58" t="n"/>
      <c r="G24" s="58" t="n"/>
      <c r="H24" s="28" t="n"/>
      <c r="I24" s="28" t="n"/>
      <c r="J24" s="23" t="n"/>
      <c r="K24" s="60">
        <f>IF(OR($A24="",$C24="",$D24=""),"",IFERROR($C24*$D24,""))</f>
        <v/>
      </c>
      <c r="L24" s="48">
        <f>IF(OR($A24="",$D24="",$E24="",$G24="",$I24&lt;&gt;"Included"),"",IFERROR($D24*$E24*$G24,""))</f>
        <v/>
      </c>
    </row>
    <row r="25">
      <c r="A25" s="23" t="n"/>
      <c r="B25" s="23" t="n"/>
      <c r="C25" s="56" t="n"/>
      <c r="D25" s="25" t="n"/>
      <c r="E25" s="57" t="n"/>
      <c r="F25" s="58" t="n"/>
      <c r="G25" s="58" t="n"/>
      <c r="H25" s="28" t="n"/>
      <c r="I25" s="28" t="n"/>
      <c r="J25" s="23" t="n"/>
      <c r="K25" s="59">
        <f>IF(OR($A25="",$C25="",$D25=""),"",IFERROR($C25*$D25,""))</f>
        <v/>
      </c>
      <c r="L25" s="50">
        <f>IF(OR($A25="",$D25="",$E25="",$G25="",$I25&lt;&gt;"Included"),"",IFERROR($D25*$E25*$G25,""))</f>
        <v/>
      </c>
    </row>
    <row r="26">
      <c r="A26" s="23" t="n"/>
      <c r="B26" s="23" t="n"/>
      <c r="C26" s="56" t="n"/>
      <c r="D26" s="25" t="n"/>
      <c r="E26" s="57" t="n"/>
      <c r="F26" s="58" t="n"/>
      <c r="G26" s="58" t="n"/>
      <c r="H26" s="28" t="n"/>
      <c r="I26" s="28" t="n"/>
      <c r="J26" s="23" t="n"/>
      <c r="K26" s="60">
        <f>IF(OR($A26="",$C26="",$D26=""),"",IFERROR($C26*$D26,""))</f>
        <v/>
      </c>
      <c r="L26" s="48">
        <f>IF(OR($A26="",$D26="",$E26="",$G26="",$I26&lt;&gt;"Included"),"",IFERROR($D26*$E26*$G26,""))</f>
        <v/>
      </c>
    </row>
    <row r="27">
      <c r="A27" s="23" t="n"/>
      <c r="B27" s="23" t="n"/>
      <c r="C27" s="56" t="n"/>
      <c r="D27" s="25" t="n"/>
      <c r="E27" s="57" t="n"/>
      <c r="F27" s="58" t="n"/>
      <c r="G27" s="58" t="n"/>
      <c r="H27" s="28" t="n"/>
      <c r="I27" s="28" t="n"/>
      <c r="J27" s="23" t="n"/>
      <c r="K27" s="59">
        <f>IF(OR($A27="",$C27="",$D27=""),"",IFERROR($C27*$D27,""))</f>
        <v/>
      </c>
      <c r="L27" s="50">
        <f>IF(OR($A27="",$D27="",$E27="",$G27="",$I27&lt;&gt;"Included"),"",IFERROR($D27*$E27*$G27,""))</f>
        <v/>
      </c>
    </row>
    <row r="28">
      <c r="A28" s="23" t="n"/>
      <c r="B28" s="23" t="n"/>
      <c r="C28" s="56" t="n"/>
      <c r="D28" s="25" t="n"/>
      <c r="E28" s="57" t="n"/>
      <c r="F28" s="58" t="n"/>
      <c r="G28" s="58" t="n"/>
      <c r="H28" s="28" t="n"/>
      <c r="I28" s="28" t="n"/>
      <c r="J28" s="23" t="n"/>
      <c r="K28" s="60">
        <f>IF(OR($A28="",$C28="",$D28=""),"",IFERROR($C28*$D28,""))</f>
        <v/>
      </c>
      <c r="L28" s="48">
        <f>IF(OR($A28="",$D28="",$E28="",$G28="",$I28&lt;&gt;"Included"),"",IFERROR($D28*$E28*$G28,""))</f>
        <v/>
      </c>
    </row>
    <row r="29">
      <c r="A29" s="23" t="n"/>
      <c r="B29" s="23" t="n"/>
      <c r="C29" s="56" t="n"/>
      <c r="D29" s="25" t="n"/>
      <c r="E29" s="57" t="n"/>
      <c r="F29" s="58" t="n"/>
      <c r="G29" s="58" t="n"/>
      <c r="H29" s="28" t="n"/>
      <c r="I29" s="28" t="n"/>
      <c r="J29" s="23" t="n"/>
      <c r="K29" s="59">
        <f>IF(OR($A29="",$C29="",$D29=""),"",IFERROR($C29*$D29,""))</f>
        <v/>
      </c>
      <c r="L29" s="50">
        <f>IF(OR($A29="",$D29="",$E29="",$G29="",$I29&lt;&gt;"Included"),"",IFERROR($D29*$E29*$G29,""))</f>
        <v/>
      </c>
    </row>
    <row r="30">
      <c r="A30" s="23" t="n"/>
      <c r="B30" s="23" t="n"/>
      <c r="C30" s="56" t="n"/>
      <c r="D30" s="25" t="n"/>
      <c r="E30" s="57" t="n"/>
      <c r="F30" s="58" t="n"/>
      <c r="G30" s="58" t="n"/>
      <c r="H30" s="28" t="n"/>
      <c r="I30" s="28" t="n"/>
      <c r="J30" s="23" t="n"/>
      <c r="K30" s="60">
        <f>IF(OR($A30="",$C30="",$D30=""),"",IFERROR($C30*$D30,""))</f>
        <v/>
      </c>
      <c r="L30" s="48">
        <f>IF(OR($A30="",$D30="",$E30="",$G30="",$I30&lt;&gt;"Included"),"",IFERROR($D30*$E30*$G30,""))</f>
        <v/>
      </c>
    </row>
    <row r="31">
      <c r="A31" s="23" t="n"/>
      <c r="B31" s="23" t="n"/>
      <c r="C31" s="56" t="n"/>
      <c r="D31" s="25" t="n"/>
      <c r="E31" s="57" t="n"/>
      <c r="F31" s="58" t="n"/>
      <c r="G31" s="58" t="n"/>
      <c r="H31" s="28" t="n"/>
      <c r="I31" s="28" t="n"/>
      <c r="J31" s="23" t="n"/>
      <c r="K31" s="59">
        <f>IF(OR($A31="",$C31="",$D31=""),"",IFERROR($C31*$D31,""))</f>
        <v/>
      </c>
      <c r="L31" s="50">
        <f>IF(OR($A31="",$D31="",$E31="",$G31="",$I31&lt;&gt;"Included"),"",IFERROR($D31*$E31*$G31,""))</f>
        <v/>
      </c>
    </row>
    <row r="32">
      <c r="A32" s="23" t="n"/>
      <c r="B32" s="23" t="n"/>
      <c r="C32" s="56" t="n"/>
      <c r="D32" s="25" t="n"/>
      <c r="E32" s="57" t="n"/>
      <c r="F32" s="58" t="n"/>
      <c r="G32" s="58" t="n"/>
      <c r="H32" s="28" t="n"/>
      <c r="I32" s="28" t="n"/>
      <c r="J32" s="23" t="n"/>
      <c r="K32" s="60">
        <f>IF(OR($A32="",$C32="",$D32=""),"",IFERROR($C32*$D32,""))</f>
        <v/>
      </c>
      <c r="L32" s="48">
        <f>IF(OR($A32="",$D32="",$E32="",$G32="",$I32&lt;&gt;"Included"),"",IFERROR($D32*$E32*$G32,""))</f>
        <v/>
      </c>
    </row>
    <row r="33">
      <c r="A33" s="23" t="n"/>
      <c r="B33" s="23" t="n"/>
      <c r="C33" s="56" t="n"/>
      <c r="D33" s="25" t="n"/>
      <c r="E33" s="57" t="n"/>
      <c r="F33" s="58" t="n"/>
      <c r="G33" s="58" t="n"/>
      <c r="H33" s="28" t="n"/>
      <c r="I33" s="28" t="n"/>
      <c r="J33" s="23" t="n"/>
      <c r="K33" s="59">
        <f>IF(OR($A33="",$C33="",$D33=""),"",IFERROR($C33*$D33,""))</f>
        <v/>
      </c>
      <c r="L33" s="50">
        <f>IF(OR($A33="",$D33="",$E33="",$G33="",$I33&lt;&gt;"Included"),"",IFERROR($D33*$E33*$G33,""))</f>
        <v/>
      </c>
    </row>
    <row r="34">
      <c r="A34" s="23" t="n"/>
      <c r="B34" s="23" t="n"/>
      <c r="C34" s="56" t="n"/>
      <c r="D34" s="25" t="n"/>
      <c r="E34" s="57" t="n"/>
      <c r="F34" s="58" t="n"/>
      <c r="G34" s="58" t="n"/>
      <c r="H34" s="28" t="n"/>
      <c r="I34" s="28" t="n"/>
      <c r="J34" s="23" t="n"/>
      <c r="K34" s="60">
        <f>IF(OR($A34="",$C34="",$D34=""),"",IFERROR($C34*$D34,""))</f>
        <v/>
      </c>
      <c r="L34" s="48">
        <f>IF(OR($A34="",$D34="",$E34="",$G34="",$I34&lt;&gt;"Included"),"",IFERROR($D34*$E34*$G34,""))</f>
        <v/>
      </c>
    </row>
    <row r="35">
      <c r="A35" s="23" t="n"/>
      <c r="B35" s="23" t="n"/>
      <c r="C35" s="56" t="n"/>
      <c r="D35" s="25" t="n"/>
      <c r="E35" s="57" t="n"/>
      <c r="F35" s="58" t="n"/>
      <c r="G35" s="58" t="n"/>
      <c r="H35" s="28" t="n"/>
      <c r="I35" s="28" t="n"/>
      <c r="J35" s="23" t="n"/>
      <c r="K35" s="59">
        <f>IF(OR($A35="",$C35="",$D35=""),"",IFERROR($C35*$D35,""))</f>
        <v/>
      </c>
      <c r="L35" s="50">
        <f>IF(OR($A35="",$D35="",$E35="",$G35="",$I35&lt;&gt;"Included"),"",IFERROR($D35*$E35*$G35,""))</f>
        <v/>
      </c>
    </row>
    <row r="36">
      <c r="A36" s="23" t="n"/>
      <c r="B36" s="23" t="n"/>
      <c r="C36" s="56" t="n"/>
      <c r="D36" s="25" t="n"/>
      <c r="E36" s="57" t="n"/>
      <c r="F36" s="58" t="n"/>
      <c r="G36" s="58" t="n"/>
      <c r="H36" s="28" t="n"/>
      <c r="I36" s="28" t="n"/>
      <c r="J36" s="23" t="n"/>
      <c r="K36" s="60">
        <f>IF(OR($A36="",$C36="",$D36=""),"",IFERROR($C36*$D36,""))</f>
        <v/>
      </c>
      <c r="L36" s="48">
        <f>IF(OR($A36="",$D36="",$E36="",$G36="",$I36&lt;&gt;"Included"),"",IFERROR($D36*$E36*$G36,""))</f>
        <v/>
      </c>
    </row>
    <row r="37">
      <c r="A37" s="23" t="n"/>
      <c r="B37" s="23" t="n"/>
      <c r="C37" s="56" t="n"/>
      <c r="D37" s="25" t="n"/>
      <c r="E37" s="57" t="n"/>
      <c r="F37" s="58" t="n"/>
      <c r="G37" s="58" t="n"/>
      <c r="H37" s="28" t="n"/>
      <c r="I37" s="28" t="n"/>
      <c r="J37" s="23" t="n"/>
      <c r="K37" s="59">
        <f>IF(OR($A37="",$C37="",$D37=""),"",IFERROR($C37*$D37,""))</f>
        <v/>
      </c>
      <c r="L37" s="50">
        <f>IF(OR($A37="",$D37="",$E37="",$G37="",$I37&lt;&gt;"Included"),"",IFERROR($D37*$E37*$G37,""))</f>
        <v/>
      </c>
    </row>
    <row r="38">
      <c r="A38" s="23" t="n"/>
      <c r="B38" s="23" t="n"/>
      <c r="C38" s="56" t="n"/>
      <c r="D38" s="25" t="n"/>
      <c r="E38" s="57" t="n"/>
      <c r="F38" s="58" t="n"/>
      <c r="G38" s="58" t="n"/>
      <c r="H38" s="28" t="n"/>
      <c r="I38" s="28" t="n"/>
      <c r="J38" s="23" t="n"/>
      <c r="K38" s="60">
        <f>IF(OR($A38="",$C38="",$D38=""),"",IFERROR($C38*$D38,""))</f>
        <v/>
      </c>
      <c r="L38" s="48">
        <f>IF(OR($A38="",$D38="",$E38="",$G38="",$I38&lt;&gt;"Included"),"",IFERROR($D38*$E38*$G38,""))</f>
        <v/>
      </c>
    </row>
    <row r="39">
      <c r="A39" s="23" t="n"/>
      <c r="B39" s="23" t="n"/>
      <c r="C39" s="56" t="n"/>
      <c r="D39" s="25" t="n"/>
      <c r="E39" s="57" t="n"/>
      <c r="F39" s="58" t="n"/>
      <c r="G39" s="58" t="n"/>
      <c r="H39" s="28" t="n"/>
      <c r="I39" s="28" t="n"/>
      <c r="J39" s="23" t="n"/>
      <c r="K39" s="59">
        <f>IF(OR($A39="",$C39="",$D39=""),"",IFERROR($C39*$D39,""))</f>
        <v/>
      </c>
      <c r="L39" s="50">
        <f>IF(OR($A39="",$D39="",$E39="",$G39="",$I39&lt;&gt;"Included"),"",IFERROR($D39*$E39*$G39,""))</f>
        <v/>
      </c>
    </row>
    <row r="40">
      <c r="A40" s="23" t="n"/>
      <c r="B40" s="23" t="n"/>
      <c r="C40" s="56" t="n"/>
      <c r="D40" s="25" t="n"/>
      <c r="E40" s="57" t="n"/>
      <c r="F40" s="58" t="n"/>
      <c r="G40" s="58" t="n"/>
      <c r="H40" s="28" t="n"/>
      <c r="I40" s="28" t="n"/>
      <c r="J40" s="23" t="n"/>
      <c r="K40" s="60">
        <f>IF(OR($A40="",$C40="",$D40=""),"",IFERROR($C40*$D40,""))</f>
        <v/>
      </c>
      <c r="L40" s="48">
        <f>IF(OR($A40="",$D40="",$E40="",$G40="",$I40&lt;&gt;"Included"),"",IFERROR($D40*$E40*$G40,""))</f>
        <v/>
      </c>
    </row>
    <row r="41">
      <c r="A41" s="23" t="n"/>
      <c r="B41" s="23" t="n"/>
      <c r="C41" s="56" t="n"/>
      <c r="D41" s="25" t="n"/>
      <c r="E41" s="57" t="n"/>
      <c r="F41" s="58" t="n"/>
      <c r="G41" s="58" t="n"/>
      <c r="H41" s="28" t="n"/>
      <c r="I41" s="28" t="n"/>
      <c r="J41" s="23" t="n"/>
      <c r="K41" s="59">
        <f>IF(OR($A41="",$C41="",$D41=""),"",IFERROR($C41*$D41,""))</f>
        <v/>
      </c>
      <c r="L41" s="50">
        <f>IF(OR($A41="",$D41="",$E41="",$G41="",$I41&lt;&gt;"Included"),"",IFERROR($D41*$E41*$G41,""))</f>
        <v/>
      </c>
    </row>
    <row r="42">
      <c r="A42" s="23" t="n"/>
      <c r="B42" s="23" t="n"/>
      <c r="C42" s="56" t="n"/>
      <c r="D42" s="25" t="n"/>
      <c r="E42" s="57" t="n"/>
      <c r="F42" s="58" t="n"/>
      <c r="G42" s="58" t="n"/>
      <c r="H42" s="28" t="n"/>
      <c r="I42" s="28" t="n"/>
      <c r="J42" s="23" t="n"/>
      <c r="K42" s="60">
        <f>IF(OR($A42="",$C42="",$D42=""),"",IFERROR($C42*$D42,""))</f>
        <v/>
      </c>
      <c r="L42" s="48">
        <f>IF(OR($A42="",$D42="",$E42="",$G42="",$I42&lt;&gt;"Included"),"",IFERROR($D42*$E42*$G42,""))</f>
        <v/>
      </c>
    </row>
    <row r="43">
      <c r="A43" s="23" t="n"/>
      <c r="B43" s="23" t="n"/>
      <c r="C43" s="56" t="n"/>
      <c r="D43" s="25" t="n"/>
      <c r="E43" s="57" t="n"/>
      <c r="F43" s="58" t="n"/>
      <c r="G43" s="58" t="n"/>
      <c r="H43" s="28" t="n"/>
      <c r="I43" s="28" t="n"/>
      <c r="J43" s="23" t="n"/>
      <c r="K43" s="59">
        <f>IF(OR($A43="",$C43="",$D43=""),"",IFERROR($C43*$D43,""))</f>
        <v/>
      </c>
      <c r="L43" s="50">
        <f>IF(OR($A43="",$D43="",$E43="",$G43="",$I43&lt;&gt;"Included"),"",IFERROR($D43*$E43*$G43,""))</f>
        <v/>
      </c>
    </row>
    <row r="44">
      <c r="A44" s="23" t="n"/>
      <c r="B44" s="23" t="n"/>
      <c r="C44" s="56" t="n"/>
      <c r="D44" s="25" t="n"/>
      <c r="E44" s="57" t="n"/>
      <c r="F44" s="58" t="n"/>
      <c r="G44" s="58" t="n"/>
      <c r="H44" s="28" t="n"/>
      <c r="I44" s="28" t="n"/>
      <c r="J44" s="23" t="n"/>
      <c r="K44" s="60">
        <f>IF(OR($A44="",$C44="",$D44=""),"",IFERROR($C44*$D44,""))</f>
        <v/>
      </c>
      <c r="L44" s="48">
        <f>IF(OR($A44="",$D44="",$E44="",$G44="",$I44&lt;&gt;"Included"),"",IFERROR($D44*$E44*$G44,""))</f>
        <v/>
      </c>
    </row>
    <row r="45">
      <c r="A45" s="23" t="n"/>
      <c r="B45" s="23" t="n"/>
      <c r="C45" s="56" t="n"/>
      <c r="D45" s="25" t="n"/>
      <c r="E45" s="57" t="n"/>
      <c r="F45" s="58" t="n"/>
      <c r="G45" s="58" t="n"/>
      <c r="H45" s="28" t="n"/>
      <c r="I45" s="28" t="n"/>
      <c r="J45" s="23" t="n"/>
      <c r="K45" s="59">
        <f>IF(OR($A45="",$C45="",$D45=""),"",IFERROR($C45*$D45,""))</f>
        <v/>
      </c>
      <c r="L45" s="50">
        <f>IF(OR($A45="",$D45="",$E45="",$G45="",$I45&lt;&gt;"Included"),"",IFERROR($D45*$E45*$G45,""))</f>
        <v/>
      </c>
    </row>
    <row r="46">
      <c r="A46" s="23" t="n"/>
      <c r="B46" s="23" t="n"/>
      <c r="C46" s="56" t="n"/>
      <c r="D46" s="25" t="n"/>
      <c r="E46" s="57" t="n"/>
      <c r="F46" s="58" t="n"/>
      <c r="G46" s="58" t="n"/>
      <c r="H46" s="28" t="n"/>
      <c r="I46" s="28" t="n"/>
      <c r="J46" s="23" t="n"/>
      <c r="K46" s="60">
        <f>IF(OR($A46="",$C46="",$D46=""),"",IFERROR($C46*$D46,""))</f>
        <v/>
      </c>
      <c r="L46" s="48">
        <f>IF(OR($A46="",$D46="",$E46="",$G46="",$I46&lt;&gt;"Included"),"",IFERROR($D46*$E46*$G46,""))</f>
        <v/>
      </c>
    </row>
    <row r="47">
      <c r="A47" s="23" t="n"/>
      <c r="B47" s="23" t="n"/>
      <c r="C47" s="56" t="n"/>
      <c r="D47" s="25" t="n"/>
      <c r="E47" s="57" t="n"/>
      <c r="F47" s="58" t="n"/>
      <c r="G47" s="58" t="n"/>
      <c r="H47" s="28" t="n"/>
      <c r="I47" s="28" t="n"/>
      <c r="J47" s="23" t="n"/>
      <c r="K47" s="59">
        <f>IF(OR($A47="",$C47="",$D47=""),"",IFERROR($C47*$D47,""))</f>
        <v/>
      </c>
      <c r="L47" s="50">
        <f>IF(OR($A47="",$D47="",$E47="",$G47="",$I47&lt;&gt;"Included"),"",IFERROR($D47*$E47*$G47,""))</f>
        <v/>
      </c>
    </row>
    <row r="48">
      <c r="A48" s="23" t="n"/>
      <c r="B48" s="23" t="n"/>
      <c r="C48" s="56" t="n"/>
      <c r="D48" s="25" t="n"/>
      <c r="E48" s="57" t="n"/>
      <c r="F48" s="58" t="n"/>
      <c r="G48" s="58" t="n"/>
      <c r="H48" s="28" t="n"/>
      <c r="I48" s="28" t="n"/>
      <c r="J48" s="23" t="n"/>
      <c r="K48" s="60">
        <f>IF(OR($A48="",$C48="",$D48=""),"",IFERROR($C48*$D48,""))</f>
        <v/>
      </c>
      <c r="L48" s="48">
        <f>IF(OR($A48="",$D48="",$E48="",$G48="",$I48&lt;&gt;"Included"),"",IFERROR($D48*$E48*$G48,""))</f>
        <v/>
      </c>
    </row>
    <row r="49">
      <c r="A49" s="23" t="n"/>
      <c r="B49" s="23" t="n"/>
      <c r="C49" s="56" t="n"/>
      <c r="D49" s="25" t="n"/>
      <c r="E49" s="57" t="n"/>
      <c r="F49" s="58" t="n"/>
      <c r="G49" s="58" t="n"/>
      <c r="H49" s="28" t="n"/>
      <c r="I49" s="28" t="n"/>
      <c r="J49" s="23" t="n"/>
      <c r="K49" s="59">
        <f>IF(OR($A49="",$C49="",$D49=""),"",IFERROR($C49*$D49,""))</f>
        <v/>
      </c>
      <c r="L49" s="50">
        <f>IF(OR($A49="",$D49="",$E49="",$G49="",$I49&lt;&gt;"Included"),"",IFERROR($D49*$E49*$G49,""))</f>
        <v/>
      </c>
    </row>
    <row r="50">
      <c r="A50" s="23" t="n"/>
      <c r="B50" s="23" t="n"/>
      <c r="C50" s="56" t="n"/>
      <c r="D50" s="25" t="n"/>
      <c r="E50" s="57" t="n"/>
      <c r="F50" s="58" t="n"/>
      <c r="G50" s="58" t="n"/>
      <c r="H50" s="28" t="n"/>
      <c r="I50" s="28" t="n"/>
      <c r="J50" s="23" t="n"/>
      <c r="K50" s="60">
        <f>IF(OR($A50="",$C50="",$D50=""),"",IFERROR($C50*$D50,""))</f>
        <v/>
      </c>
      <c r="L50" s="48">
        <f>IF(OR($A50="",$D50="",$E50="",$G50="",$I50&lt;&gt;"Included"),"",IFERROR($D50*$E50*$G50,""))</f>
        <v/>
      </c>
    </row>
    <row r="51">
      <c r="A51" s="23" t="n"/>
      <c r="B51" s="23" t="n"/>
      <c r="C51" s="56" t="n"/>
      <c r="D51" s="25" t="n"/>
      <c r="E51" s="57" t="n"/>
      <c r="F51" s="58" t="n"/>
      <c r="G51" s="58" t="n"/>
      <c r="H51" s="28" t="n"/>
      <c r="I51" s="28" t="n"/>
      <c r="J51" s="23" t="n"/>
      <c r="K51" s="59">
        <f>IF(OR($A51="",$C51="",$D51=""),"",IFERROR($C51*$D51,""))</f>
        <v/>
      </c>
      <c r="L51" s="50">
        <f>IF(OR($A51="",$D51="",$E51="",$G51="",$I51&lt;&gt;"Included"),"",IFERROR($D51*$E51*$G51,""))</f>
        <v/>
      </c>
    </row>
    <row r="52">
      <c r="A52" s="23" t="n"/>
      <c r="B52" s="23" t="n"/>
      <c r="C52" s="56" t="n"/>
      <c r="D52" s="25" t="n"/>
      <c r="E52" s="57" t="n"/>
      <c r="F52" s="58" t="n"/>
      <c r="G52" s="58" t="n"/>
      <c r="H52" s="28" t="n"/>
      <c r="I52" s="28" t="n"/>
      <c r="J52" s="23" t="n"/>
      <c r="K52" s="60">
        <f>IF(OR($A52="",$C52="",$D52=""),"",IFERROR($C52*$D52,""))</f>
        <v/>
      </c>
      <c r="L52" s="48">
        <f>IF(OR($A52="",$D52="",$E52="",$G52="",$I52&lt;&gt;"Included"),"",IFERROR($D52*$E52*$G52,""))</f>
        <v/>
      </c>
    </row>
    <row r="53">
      <c r="A53" s="23" t="n"/>
      <c r="B53" s="23" t="n"/>
      <c r="C53" s="56" t="n"/>
      <c r="D53" s="25" t="n"/>
      <c r="E53" s="57" t="n"/>
      <c r="F53" s="58" t="n"/>
      <c r="G53" s="58" t="n"/>
      <c r="H53" s="28" t="n"/>
      <c r="I53" s="28" t="n"/>
      <c r="J53" s="23" t="n"/>
      <c r="K53" s="59">
        <f>IF(OR($A53="",$C53="",$D53=""),"",IFERROR($C53*$D53,""))</f>
        <v/>
      </c>
      <c r="L53" s="50">
        <f>IF(OR($A53="",$D53="",$E53="",$G53="",$I53&lt;&gt;"Included"),"",IFERROR($D53*$E53*$G53,""))</f>
        <v/>
      </c>
    </row>
    <row r="54">
      <c r="A54" s="23" t="n"/>
      <c r="B54" s="23" t="n"/>
      <c r="C54" s="56" t="n"/>
      <c r="D54" s="25" t="n"/>
      <c r="E54" s="57" t="n"/>
      <c r="F54" s="58" t="n"/>
      <c r="G54" s="58" t="n"/>
      <c r="H54" s="28" t="n"/>
      <c r="I54" s="28" t="n"/>
      <c r="J54" s="23" t="n"/>
      <c r="K54" s="60">
        <f>IF(OR($A54="",$C54="",$D54=""),"",IFERROR($C54*$D54,""))</f>
        <v/>
      </c>
      <c r="L54" s="48">
        <f>IF(OR($A54="",$D54="",$E54="",$G54="",$I54&lt;&gt;"Included"),"",IFERROR($D54*$E54*$G54,""))</f>
        <v/>
      </c>
    </row>
    <row r="55">
      <c r="A55" s="23" t="n"/>
      <c r="B55" s="23" t="n"/>
      <c r="C55" s="56" t="n"/>
      <c r="D55" s="25" t="n"/>
      <c r="E55" s="57" t="n"/>
      <c r="F55" s="58" t="n"/>
      <c r="G55" s="58" t="n"/>
      <c r="H55" s="28" t="n"/>
      <c r="I55" s="28" t="n"/>
      <c r="J55" s="23" t="n"/>
      <c r="K55" s="59">
        <f>IF(OR($A55="",$C55="",$D55=""),"",IFERROR($C55*$D55,""))</f>
        <v/>
      </c>
      <c r="L55" s="50">
        <f>IF(OR($A55="",$D55="",$E55="",$G55="",$I55&lt;&gt;"Included"),"",IFERROR($D55*$E55*$G55,""))</f>
        <v/>
      </c>
    </row>
    <row r="56">
      <c r="A56" s="23" t="n"/>
      <c r="B56" s="23" t="n"/>
      <c r="C56" s="56" t="n"/>
      <c r="D56" s="25" t="n"/>
      <c r="E56" s="57" t="n"/>
      <c r="F56" s="58" t="n"/>
      <c r="G56" s="58" t="n"/>
      <c r="H56" s="28" t="n"/>
      <c r="I56" s="28" t="n"/>
      <c r="J56" s="23" t="n"/>
      <c r="K56" s="60">
        <f>IF(OR($A56="",$C56="",$D56=""),"",IFERROR($C56*$D56,""))</f>
        <v/>
      </c>
      <c r="L56" s="48">
        <f>IF(OR($A56="",$D56="",$E56="",$G56="",$I56&lt;&gt;"Included"),"",IFERROR($D56*$E56*$G56,""))</f>
        <v/>
      </c>
    </row>
    <row r="57">
      <c r="A57" s="23" t="n"/>
      <c r="B57" s="23" t="n"/>
      <c r="C57" s="56" t="n"/>
      <c r="D57" s="25" t="n"/>
      <c r="E57" s="57" t="n"/>
      <c r="F57" s="58" t="n"/>
      <c r="G57" s="58" t="n"/>
      <c r="H57" s="28" t="n"/>
      <c r="I57" s="28" t="n"/>
      <c r="J57" s="23" t="n"/>
      <c r="K57" s="59">
        <f>IF(OR($A57="",$C57="",$D57=""),"",IFERROR($C57*$D57,""))</f>
        <v/>
      </c>
      <c r="L57" s="50">
        <f>IF(OR($A57="",$D57="",$E57="",$G57="",$I57&lt;&gt;"Included"),"",IFERROR($D57*$E57*$G57,""))</f>
        <v/>
      </c>
    </row>
    <row r="58">
      <c r="A58" s="23" t="n"/>
      <c r="B58" s="23" t="n"/>
      <c r="C58" s="56" t="n"/>
      <c r="D58" s="25" t="n"/>
      <c r="E58" s="57" t="n"/>
      <c r="F58" s="58" t="n"/>
      <c r="G58" s="58" t="n"/>
      <c r="H58" s="28" t="n"/>
      <c r="I58" s="28" t="n"/>
      <c r="J58" s="23" t="n"/>
      <c r="K58" s="60">
        <f>IF(OR($A58="",$C58="",$D58=""),"",IFERROR($C58*$D58,""))</f>
        <v/>
      </c>
      <c r="L58" s="48">
        <f>IF(OR($A58="",$D58="",$E58="",$G58="",$I58&lt;&gt;"Included"),"",IFERROR($D58*$E58*$G58,""))</f>
        <v/>
      </c>
    </row>
    <row r="59">
      <c r="A59" s="23" t="n"/>
      <c r="B59" s="23" t="n"/>
      <c r="C59" s="56" t="n"/>
      <c r="D59" s="25" t="n"/>
      <c r="E59" s="57" t="n"/>
      <c r="F59" s="58" t="n"/>
      <c r="G59" s="58" t="n"/>
      <c r="H59" s="28" t="n"/>
      <c r="I59" s="28" t="n"/>
      <c r="J59" s="23" t="n"/>
      <c r="K59" s="59">
        <f>IF(OR($A59="",$C59="",$D59=""),"",IFERROR($C59*$D59,""))</f>
        <v/>
      </c>
      <c r="L59" s="50">
        <f>IF(OR($A59="",$D59="",$E59="",$G59="",$I59&lt;&gt;"Included"),"",IFERROR($D59*$E59*$G59,""))</f>
        <v/>
      </c>
    </row>
    <row r="60">
      <c r="A60" s="23" t="n"/>
      <c r="B60" s="23" t="n"/>
      <c r="C60" s="56" t="n"/>
      <c r="D60" s="25" t="n"/>
      <c r="E60" s="57" t="n"/>
      <c r="F60" s="58" t="n"/>
      <c r="G60" s="58" t="n"/>
      <c r="H60" s="28" t="n"/>
      <c r="I60" s="28" t="n"/>
      <c r="J60" s="23" t="n"/>
      <c r="K60" s="60">
        <f>IF(OR($A60="",$C60="",$D60=""),"",IFERROR($C60*$D60,""))</f>
        <v/>
      </c>
      <c r="L60" s="48">
        <f>IF(OR($A60="",$D60="",$E60="",$G60="",$I60&lt;&gt;"Included"),"",IFERROR($D60*$E60*$G60,""))</f>
        <v/>
      </c>
    </row>
    <row r="61">
      <c r="A61" s="23" t="n"/>
      <c r="B61" s="23" t="n"/>
      <c r="C61" s="56" t="n"/>
      <c r="D61" s="25" t="n"/>
      <c r="E61" s="57" t="n"/>
      <c r="F61" s="58" t="n"/>
      <c r="G61" s="58" t="n"/>
      <c r="H61" s="28" t="n"/>
      <c r="I61" s="28" t="n"/>
      <c r="J61" s="23" t="n"/>
      <c r="K61" s="59">
        <f>IF(OR($A61="",$C61="",$D61=""),"",IFERROR($C61*$D61,""))</f>
        <v/>
      </c>
      <c r="L61" s="50">
        <f>IF(OR($A61="",$D61="",$E61="",$G61="",$I61&lt;&gt;"Included"),"",IFERROR($D61*$E61*$G61,""))</f>
        <v/>
      </c>
    </row>
    <row r="62">
      <c r="A62" s="23" t="n"/>
      <c r="B62" s="23" t="n"/>
      <c r="C62" s="56" t="n"/>
      <c r="D62" s="25" t="n"/>
      <c r="E62" s="57" t="n"/>
      <c r="F62" s="58" t="n"/>
      <c r="G62" s="58" t="n"/>
      <c r="H62" s="28" t="n"/>
      <c r="I62" s="28" t="n"/>
      <c r="J62" s="23" t="n"/>
      <c r="K62" s="60">
        <f>IF(OR($A62="",$C62="",$D62=""),"",IFERROR($C62*$D62,""))</f>
        <v/>
      </c>
      <c r="L62" s="48">
        <f>IF(OR($A62="",$D62="",$E62="",$G62="",$I62&lt;&gt;"Included"),"",IFERROR($D62*$E62*$G62,""))</f>
        <v/>
      </c>
    </row>
    <row r="63">
      <c r="A63" s="23" t="n"/>
      <c r="B63" s="23" t="n"/>
      <c r="C63" s="56" t="n"/>
      <c r="D63" s="25" t="n"/>
      <c r="E63" s="57" t="n"/>
      <c r="F63" s="58" t="n"/>
      <c r="G63" s="58" t="n"/>
      <c r="H63" s="28" t="n"/>
      <c r="I63" s="28" t="n"/>
      <c r="J63" s="23" t="n"/>
      <c r="K63" s="59">
        <f>IF(OR($A63="",$C63="",$D63=""),"",IFERROR($C63*$D63,""))</f>
        <v/>
      </c>
      <c r="L63" s="50">
        <f>IF(OR($A63="",$D63="",$E63="",$G63="",$I63&lt;&gt;"Included"),"",IFERROR($D63*$E63*$G63,""))</f>
        <v/>
      </c>
    </row>
    <row r="64">
      <c r="A64" s="23" t="n"/>
      <c r="B64" s="23" t="n"/>
      <c r="C64" s="56" t="n"/>
      <c r="D64" s="25" t="n"/>
      <c r="E64" s="57" t="n"/>
      <c r="F64" s="58" t="n"/>
      <c r="G64" s="58" t="n"/>
      <c r="H64" s="28" t="n"/>
      <c r="I64" s="28" t="n"/>
      <c r="J64" s="23" t="n"/>
      <c r="K64" s="60">
        <f>IF(OR($A64="",$C64="",$D64=""),"",IFERROR($C64*$D64,""))</f>
        <v/>
      </c>
      <c r="L64" s="48">
        <f>IF(OR($A64="",$D64="",$E64="",$G64="",$I64&lt;&gt;"Included"),"",IFERROR($D64*$E64*$G64,""))</f>
        <v/>
      </c>
    </row>
    <row r="65">
      <c r="A65" s="23" t="n"/>
      <c r="B65" s="23" t="n"/>
      <c r="C65" s="56" t="n"/>
      <c r="D65" s="25" t="n"/>
      <c r="E65" s="57" t="n"/>
      <c r="F65" s="58" t="n"/>
      <c r="G65" s="58" t="n"/>
      <c r="H65" s="28" t="n"/>
      <c r="I65" s="28" t="n"/>
      <c r="J65" s="23" t="n"/>
      <c r="K65" s="59">
        <f>IF(OR($A65="",$C65="",$D65=""),"",IFERROR($C65*$D65,""))</f>
        <v/>
      </c>
      <c r="L65" s="50">
        <f>IF(OR($A65="",$D65="",$E65="",$G65="",$I65&lt;&gt;"Included"),"",IFERROR($D65*$E65*$G65,""))</f>
        <v/>
      </c>
    </row>
    <row r="66">
      <c r="A66" s="23" t="n"/>
      <c r="B66" s="23" t="n"/>
      <c r="C66" s="56" t="n"/>
      <c r="D66" s="25" t="n"/>
      <c r="E66" s="57" t="n"/>
      <c r="F66" s="58" t="n"/>
      <c r="G66" s="58" t="n"/>
      <c r="H66" s="28" t="n"/>
      <c r="I66" s="28" t="n"/>
      <c r="J66" s="23" t="n"/>
      <c r="K66" s="60">
        <f>IF(OR($A66="",$C66="",$D66=""),"",IFERROR($C66*$D66,""))</f>
        <v/>
      </c>
      <c r="L66" s="48">
        <f>IF(OR($A66="",$D66="",$E66="",$G66="",$I66&lt;&gt;"Included"),"",IFERROR($D66*$E66*$G66,""))</f>
        <v/>
      </c>
    </row>
    <row r="67">
      <c r="A67" s="23" t="n"/>
      <c r="B67" s="23" t="n"/>
      <c r="C67" s="56" t="n"/>
      <c r="D67" s="25" t="n"/>
      <c r="E67" s="57" t="n"/>
      <c r="F67" s="58" t="n"/>
      <c r="G67" s="58" t="n"/>
      <c r="H67" s="28" t="n"/>
      <c r="I67" s="28" t="n"/>
      <c r="J67" s="23" t="n"/>
      <c r="K67" s="59">
        <f>IF(OR($A67="",$C67="",$D67=""),"",IFERROR($C67*$D67,""))</f>
        <v/>
      </c>
      <c r="L67" s="50">
        <f>IF(OR($A67="",$D67="",$E67="",$G67="",$I67&lt;&gt;"Included"),"",IFERROR($D67*$E67*$G67,""))</f>
        <v/>
      </c>
    </row>
    <row r="68">
      <c r="A68" s="23" t="n"/>
      <c r="B68" s="23" t="n"/>
      <c r="C68" s="56" t="n"/>
      <c r="D68" s="25" t="n"/>
      <c r="E68" s="57" t="n"/>
      <c r="F68" s="58" t="n"/>
      <c r="G68" s="58" t="n"/>
      <c r="H68" s="28" t="n"/>
      <c r="I68" s="28" t="n"/>
      <c r="J68" s="23" t="n"/>
      <c r="K68" s="60">
        <f>IF(OR($A68="",$C68="",$D68=""),"",IFERROR($C68*$D68,""))</f>
        <v/>
      </c>
      <c r="L68" s="48">
        <f>IF(OR($A68="",$D68="",$E68="",$G68="",$I68&lt;&gt;"Included"),"",IFERROR($D68*$E68*$G68,""))</f>
        <v/>
      </c>
    </row>
    <row r="69">
      <c r="A69" s="23" t="n"/>
      <c r="B69" s="23" t="n"/>
      <c r="C69" s="56" t="n"/>
      <c r="D69" s="25" t="n"/>
      <c r="E69" s="57" t="n"/>
      <c r="F69" s="58" t="n"/>
      <c r="G69" s="58" t="n"/>
      <c r="H69" s="28" t="n"/>
      <c r="I69" s="28" t="n"/>
      <c r="J69" s="23" t="n"/>
      <c r="K69" s="59">
        <f>IF(OR($A69="",$C69="",$D69=""),"",IFERROR($C69*$D69,""))</f>
        <v/>
      </c>
      <c r="L69" s="50">
        <f>IF(OR($A69="",$D69="",$E69="",$G69="",$I69&lt;&gt;"Included"),"",IFERROR($D69*$E69*$G69,""))</f>
        <v/>
      </c>
    </row>
    <row r="70">
      <c r="A70" s="23" t="n"/>
      <c r="B70" s="23" t="n"/>
      <c r="C70" s="56" t="n"/>
      <c r="D70" s="25" t="n"/>
      <c r="E70" s="57" t="n"/>
      <c r="F70" s="58" t="n"/>
      <c r="G70" s="58" t="n"/>
      <c r="H70" s="28" t="n"/>
      <c r="I70" s="28" t="n"/>
      <c r="J70" s="23" t="n"/>
      <c r="K70" s="60">
        <f>IF(OR($A70="",$C70="",$D70=""),"",IFERROR($C70*$D70,""))</f>
        <v/>
      </c>
      <c r="L70" s="48">
        <f>IF(OR($A70="",$D70="",$E70="",$G70="",$I70&lt;&gt;"Included"),"",IFERROR($D70*$E70*$G70,""))</f>
        <v/>
      </c>
    </row>
    <row r="71">
      <c r="A71" s="23" t="n"/>
      <c r="B71" s="23" t="n"/>
      <c r="C71" s="56" t="n"/>
      <c r="D71" s="25" t="n"/>
      <c r="E71" s="57" t="n"/>
      <c r="F71" s="58" t="n"/>
      <c r="G71" s="58" t="n"/>
      <c r="H71" s="28" t="n"/>
      <c r="I71" s="28" t="n"/>
      <c r="J71" s="23" t="n"/>
      <c r="K71" s="59">
        <f>IF(OR($A71="",$C71="",$D71=""),"",IFERROR($C71*$D71,""))</f>
        <v/>
      </c>
      <c r="L71" s="50">
        <f>IF(OR($A71="",$D71="",$E71="",$G71="",$I71&lt;&gt;"Included"),"",IFERROR($D71*$E71*$G71,""))</f>
        <v/>
      </c>
    </row>
    <row r="72">
      <c r="A72" s="23" t="n"/>
      <c r="B72" s="23" t="n"/>
      <c r="C72" s="56" t="n"/>
      <c r="D72" s="25" t="n"/>
      <c r="E72" s="57" t="n"/>
      <c r="F72" s="58" t="n"/>
      <c r="G72" s="58" t="n"/>
      <c r="H72" s="28" t="n"/>
      <c r="I72" s="28" t="n"/>
      <c r="J72" s="23" t="n"/>
      <c r="K72" s="60">
        <f>IF(OR($A72="",$C72="",$D72=""),"",IFERROR($C72*$D72,""))</f>
        <v/>
      </c>
      <c r="L72" s="48">
        <f>IF(OR($A72="",$D72="",$E72="",$G72="",$I72&lt;&gt;"Included"),"",IFERROR($D72*$E72*$G72,""))</f>
        <v/>
      </c>
    </row>
    <row r="73">
      <c r="A73" s="23" t="n"/>
      <c r="B73" s="23" t="n"/>
      <c r="C73" s="56" t="n"/>
      <c r="D73" s="25" t="n"/>
      <c r="E73" s="57" t="n"/>
      <c r="F73" s="58" t="n"/>
      <c r="G73" s="58" t="n"/>
      <c r="H73" s="28" t="n"/>
      <c r="I73" s="28" t="n"/>
      <c r="J73" s="23" t="n"/>
      <c r="K73" s="59">
        <f>IF(OR($A73="",$C73="",$D73=""),"",IFERROR($C73*$D73,""))</f>
        <v/>
      </c>
      <c r="L73" s="50">
        <f>IF(OR($A73="",$D73="",$E73="",$G73="",$I73&lt;&gt;"Included"),"",IFERROR($D73*$E73*$G73,""))</f>
        <v/>
      </c>
    </row>
    <row r="74">
      <c r="A74" s="23" t="n"/>
      <c r="B74" s="23" t="n"/>
      <c r="C74" s="56" t="n"/>
      <c r="D74" s="25" t="n"/>
      <c r="E74" s="57" t="n"/>
      <c r="F74" s="58" t="n"/>
      <c r="G74" s="58" t="n"/>
      <c r="H74" s="28" t="n"/>
      <c r="I74" s="28" t="n"/>
      <c r="J74" s="23" t="n"/>
      <c r="K74" s="60">
        <f>IF(OR($A74="",$C74="",$D74=""),"",IFERROR($C74*$D74,""))</f>
        <v/>
      </c>
      <c r="L74" s="48">
        <f>IF(OR($A74="",$D74="",$E74="",$G74="",$I74&lt;&gt;"Included"),"",IFERROR($D74*$E74*$G74,""))</f>
        <v/>
      </c>
    </row>
    <row r="75">
      <c r="A75" s="23" t="n"/>
      <c r="B75" s="23" t="n"/>
      <c r="C75" s="56" t="n"/>
      <c r="D75" s="25" t="n"/>
      <c r="E75" s="57" t="n"/>
      <c r="F75" s="58" t="n"/>
      <c r="G75" s="58" t="n"/>
      <c r="H75" s="28" t="n"/>
      <c r="I75" s="28" t="n"/>
      <c r="J75" s="23" t="n"/>
      <c r="K75" s="59">
        <f>IF(OR($A75="",$C75="",$D75=""),"",IFERROR($C75*$D75,""))</f>
        <v/>
      </c>
      <c r="L75" s="50">
        <f>IF(OR($A75="",$D75="",$E75="",$G75="",$I75&lt;&gt;"Included"),"",IFERROR($D75*$E75*$G75,""))</f>
        <v/>
      </c>
    </row>
    <row r="76">
      <c r="A76" s="23" t="n"/>
      <c r="B76" s="23" t="n"/>
      <c r="C76" s="56" t="n"/>
      <c r="D76" s="25" t="n"/>
      <c r="E76" s="57" t="n"/>
      <c r="F76" s="58" t="n"/>
      <c r="G76" s="58" t="n"/>
      <c r="H76" s="28" t="n"/>
      <c r="I76" s="28" t="n"/>
      <c r="J76" s="23" t="n"/>
      <c r="K76" s="60">
        <f>IF(OR($A76="",$C76="",$D76=""),"",IFERROR($C76*$D76,""))</f>
        <v/>
      </c>
      <c r="L76" s="48">
        <f>IF(OR($A76="",$D76="",$E76="",$G76="",$I76&lt;&gt;"Included"),"",IFERROR($D76*$E76*$G76,""))</f>
        <v/>
      </c>
    </row>
    <row r="77">
      <c r="A77" s="23" t="n"/>
      <c r="B77" s="23" t="n"/>
      <c r="C77" s="56" t="n"/>
      <c r="D77" s="25" t="n"/>
      <c r="E77" s="57" t="n"/>
      <c r="F77" s="58" t="n"/>
      <c r="G77" s="58" t="n"/>
      <c r="H77" s="28" t="n"/>
      <c r="I77" s="28" t="n"/>
      <c r="J77" s="23" t="n"/>
      <c r="K77" s="59">
        <f>IF(OR($A77="",$C77="",$D77=""),"",IFERROR($C77*$D77,""))</f>
        <v/>
      </c>
      <c r="L77" s="50">
        <f>IF(OR($A77="",$D77="",$E77="",$G77="",$I77&lt;&gt;"Included"),"",IFERROR($D77*$E77*$G77,""))</f>
        <v/>
      </c>
    </row>
    <row r="78">
      <c r="A78" s="23" t="n"/>
      <c r="B78" s="23" t="n"/>
      <c r="C78" s="56" t="n"/>
      <c r="D78" s="25" t="n"/>
      <c r="E78" s="57" t="n"/>
      <c r="F78" s="58" t="n"/>
      <c r="G78" s="58" t="n"/>
      <c r="H78" s="28" t="n"/>
      <c r="I78" s="28" t="n"/>
      <c r="J78" s="23" t="n"/>
      <c r="K78" s="60">
        <f>IF(OR($A78="",$C78="",$D78=""),"",IFERROR($C78*$D78,""))</f>
        <v/>
      </c>
      <c r="L78" s="48">
        <f>IF(OR($A78="",$D78="",$E78="",$G78="",$I78&lt;&gt;"Included"),"",IFERROR($D78*$E78*$G78,""))</f>
        <v/>
      </c>
    </row>
    <row r="79">
      <c r="A79" s="23" t="n"/>
      <c r="B79" s="23" t="n"/>
      <c r="C79" s="56" t="n"/>
      <c r="D79" s="25" t="n"/>
      <c r="E79" s="57" t="n"/>
      <c r="F79" s="58" t="n"/>
      <c r="G79" s="58" t="n"/>
      <c r="H79" s="28" t="n"/>
      <c r="I79" s="28" t="n"/>
      <c r="J79" s="23" t="n"/>
      <c r="K79" s="59">
        <f>IF(OR($A79="",$C79="",$D79=""),"",IFERROR($C79*$D79,""))</f>
        <v/>
      </c>
      <c r="L79" s="50">
        <f>IF(OR($A79="",$D79="",$E79="",$G79="",$I79&lt;&gt;"Included"),"",IFERROR($D79*$E79*$G79,""))</f>
        <v/>
      </c>
    </row>
    <row r="80">
      <c r="A80" s="23" t="n"/>
      <c r="B80" s="23" t="n"/>
      <c r="C80" s="56" t="n"/>
      <c r="D80" s="25" t="n"/>
      <c r="E80" s="57" t="n"/>
      <c r="F80" s="58" t="n"/>
      <c r="G80" s="58" t="n"/>
      <c r="H80" s="28" t="n"/>
      <c r="I80" s="28" t="n"/>
      <c r="J80" s="23" t="n"/>
      <c r="K80" s="60">
        <f>IF(OR($A80="",$C80="",$D80=""),"",IFERROR($C80*$D80,""))</f>
        <v/>
      </c>
      <c r="L80" s="48">
        <f>IF(OR($A80="",$D80="",$E80="",$G80="",$I80&lt;&gt;"Included"),"",IFERROR($D80*$E80*$G80,""))</f>
        <v/>
      </c>
    </row>
    <row r="81">
      <c r="A81" s="23" t="n"/>
      <c r="B81" s="23" t="n"/>
      <c r="C81" s="56" t="n"/>
      <c r="D81" s="25" t="n"/>
      <c r="E81" s="57" t="n"/>
      <c r="F81" s="58" t="n"/>
      <c r="G81" s="58" t="n"/>
      <c r="H81" s="28" t="n"/>
      <c r="I81" s="28" t="n"/>
      <c r="J81" s="23" t="n"/>
      <c r="K81" s="59">
        <f>IF(OR($A81="",$C81="",$D81=""),"",IFERROR($C81*$D81,""))</f>
        <v/>
      </c>
      <c r="L81" s="50">
        <f>IF(OR($A81="",$D81="",$E81="",$G81="",$I81&lt;&gt;"Included"),"",IFERROR($D81*$E81*$G81,""))</f>
        <v/>
      </c>
    </row>
    <row r="82">
      <c r="A82" s="23" t="n"/>
      <c r="B82" s="23" t="n"/>
      <c r="C82" s="56" t="n"/>
      <c r="D82" s="25" t="n"/>
      <c r="E82" s="57" t="n"/>
      <c r="F82" s="58" t="n"/>
      <c r="G82" s="58" t="n"/>
      <c r="H82" s="28" t="n"/>
      <c r="I82" s="28" t="n"/>
      <c r="J82" s="23" t="n"/>
      <c r="K82" s="60">
        <f>IF(OR($A82="",$C82="",$D82=""),"",IFERROR($C82*$D82,""))</f>
        <v/>
      </c>
      <c r="L82" s="48">
        <f>IF(OR($A82="",$D82="",$E82="",$G82="",$I82&lt;&gt;"Included"),"",IFERROR($D82*$E82*$G82,""))</f>
        <v/>
      </c>
    </row>
    <row r="83">
      <c r="A83" s="23" t="n"/>
      <c r="B83" s="23" t="n"/>
      <c r="C83" s="56" t="n"/>
      <c r="D83" s="25" t="n"/>
      <c r="E83" s="57" t="n"/>
      <c r="F83" s="58" t="n"/>
      <c r="G83" s="58" t="n"/>
      <c r="H83" s="28" t="n"/>
      <c r="I83" s="28" t="n"/>
      <c r="J83" s="23" t="n"/>
      <c r="K83" s="59">
        <f>IF(OR($A83="",$C83="",$D83=""),"",IFERROR($C83*$D83,""))</f>
        <v/>
      </c>
      <c r="L83" s="50">
        <f>IF(OR($A83="",$D83="",$E83="",$G83="",$I83&lt;&gt;"Included"),"",IFERROR($D83*$E83*$G83,""))</f>
        <v/>
      </c>
    </row>
    <row r="84">
      <c r="A84" s="23" t="n"/>
      <c r="B84" s="23" t="n"/>
      <c r="C84" s="56" t="n"/>
      <c r="D84" s="25" t="n"/>
      <c r="E84" s="57" t="n"/>
      <c r="F84" s="58" t="n"/>
      <c r="G84" s="58" t="n"/>
      <c r="H84" s="28" t="n"/>
      <c r="I84" s="28" t="n"/>
      <c r="J84" s="23" t="n"/>
      <c r="K84" s="60">
        <f>IF(OR($A84="",$C84="",$D84=""),"",IFERROR($C84*$D84,""))</f>
        <v/>
      </c>
      <c r="L84" s="48">
        <f>IF(OR($A84="",$D84="",$E84="",$G84="",$I84&lt;&gt;"Included"),"",IFERROR($D84*$E84*$G84,""))</f>
        <v/>
      </c>
    </row>
    <row r="85">
      <c r="A85" s="23" t="n"/>
      <c r="B85" s="23" t="n"/>
      <c r="C85" s="56" t="n"/>
      <c r="D85" s="25" t="n"/>
      <c r="E85" s="57" t="n"/>
      <c r="F85" s="58" t="n"/>
      <c r="G85" s="58" t="n"/>
      <c r="H85" s="28" t="n"/>
      <c r="I85" s="28" t="n"/>
      <c r="J85" s="23" t="n"/>
      <c r="K85" s="59">
        <f>IF(OR($A85="",$C85="",$D85=""),"",IFERROR($C85*$D85,""))</f>
        <v/>
      </c>
      <c r="L85" s="50">
        <f>IF(OR($A85="",$D85="",$E85="",$G85="",$I85&lt;&gt;"Included"),"",IFERROR($D85*$E85*$G85,""))</f>
        <v/>
      </c>
    </row>
    <row r="86">
      <c r="A86" s="23" t="n"/>
      <c r="B86" s="23" t="n"/>
      <c r="C86" s="56" t="n"/>
      <c r="D86" s="25" t="n"/>
      <c r="E86" s="57" t="n"/>
      <c r="F86" s="58" t="n"/>
      <c r="G86" s="58" t="n"/>
      <c r="H86" s="28" t="n"/>
      <c r="I86" s="28" t="n"/>
      <c r="J86" s="23" t="n"/>
      <c r="K86" s="60">
        <f>IF(OR($A86="",$C86="",$D86=""),"",IFERROR($C86*$D86,""))</f>
        <v/>
      </c>
      <c r="L86" s="48">
        <f>IF(OR($A86="",$D86="",$E86="",$G86="",$I86&lt;&gt;"Included"),"",IFERROR($D86*$E86*$G86,""))</f>
        <v/>
      </c>
    </row>
    <row r="87">
      <c r="A87" s="23" t="n"/>
      <c r="B87" s="23" t="n"/>
      <c r="C87" s="56" t="n"/>
      <c r="D87" s="25" t="n"/>
      <c r="E87" s="57" t="n"/>
      <c r="F87" s="58" t="n"/>
      <c r="G87" s="58" t="n"/>
      <c r="H87" s="28" t="n"/>
      <c r="I87" s="28" t="n"/>
      <c r="J87" s="23" t="n"/>
      <c r="K87" s="59">
        <f>IF(OR($A87="",$C87="",$D87=""),"",IFERROR($C87*$D87,""))</f>
        <v/>
      </c>
      <c r="L87" s="50">
        <f>IF(OR($A87="",$D87="",$E87="",$G87="",$I87&lt;&gt;"Included"),"",IFERROR($D87*$E87*$G87,""))</f>
        <v/>
      </c>
    </row>
    <row r="88">
      <c r="A88" s="23" t="n"/>
      <c r="B88" s="23" t="n"/>
      <c r="C88" s="56" t="n"/>
      <c r="D88" s="25" t="n"/>
      <c r="E88" s="57" t="n"/>
      <c r="F88" s="58" t="n"/>
      <c r="G88" s="58" t="n"/>
      <c r="H88" s="28" t="n"/>
      <c r="I88" s="28" t="n"/>
      <c r="J88" s="23" t="n"/>
      <c r="K88" s="60">
        <f>IF(OR($A88="",$C88="",$D88=""),"",IFERROR($C88*$D88,""))</f>
        <v/>
      </c>
      <c r="L88" s="48">
        <f>IF(OR($A88="",$D88="",$E88="",$G88="",$I88&lt;&gt;"Included"),"",IFERROR($D88*$E88*$G88,""))</f>
        <v/>
      </c>
    </row>
    <row r="89">
      <c r="A89" s="23" t="n"/>
      <c r="B89" s="23" t="n"/>
      <c r="C89" s="56" t="n"/>
      <c r="D89" s="25" t="n"/>
      <c r="E89" s="57" t="n"/>
      <c r="F89" s="58" t="n"/>
      <c r="G89" s="58" t="n"/>
      <c r="H89" s="28" t="n"/>
      <c r="I89" s="28" t="n"/>
      <c r="J89" s="23" t="n"/>
      <c r="K89" s="59">
        <f>IF(OR($A89="",$C89="",$D89=""),"",IFERROR($C89*$D89,""))</f>
        <v/>
      </c>
      <c r="L89" s="50">
        <f>IF(OR($A89="",$D89="",$E89="",$G89="",$I89&lt;&gt;"Included"),"",IFERROR($D89*$E89*$G89,""))</f>
        <v/>
      </c>
    </row>
    <row r="90">
      <c r="A90" s="23" t="n"/>
      <c r="B90" s="23" t="n"/>
      <c r="C90" s="56" t="n"/>
      <c r="D90" s="25" t="n"/>
      <c r="E90" s="57" t="n"/>
      <c r="F90" s="58" t="n"/>
      <c r="G90" s="58" t="n"/>
      <c r="H90" s="28" t="n"/>
      <c r="I90" s="28" t="n"/>
      <c r="J90" s="23" t="n"/>
      <c r="K90" s="60">
        <f>IF(OR($A90="",$C90="",$D90=""),"",IFERROR($C90*$D90,""))</f>
        <v/>
      </c>
      <c r="L90" s="48">
        <f>IF(OR($A90="",$D90="",$E90="",$G90="",$I90&lt;&gt;"Included"),"",IFERROR($D90*$E90*$G90,""))</f>
        <v/>
      </c>
    </row>
    <row r="91">
      <c r="A91" s="23" t="n"/>
      <c r="B91" s="23" t="n"/>
      <c r="C91" s="56" t="n"/>
      <c r="D91" s="25" t="n"/>
      <c r="E91" s="57" t="n"/>
      <c r="F91" s="58" t="n"/>
      <c r="G91" s="58" t="n"/>
      <c r="H91" s="28" t="n"/>
      <c r="I91" s="28" t="n"/>
      <c r="J91" s="23" t="n"/>
      <c r="K91" s="59">
        <f>IF(OR($A91="",$C91="",$D91=""),"",IFERROR($C91*$D91,""))</f>
        <v/>
      </c>
      <c r="L91" s="50">
        <f>IF(OR($A91="",$D91="",$E91="",$G91="",$I91&lt;&gt;"Included"),"",IFERROR($D91*$E91*$G91,""))</f>
        <v/>
      </c>
    </row>
    <row r="92">
      <c r="A92" s="23" t="n"/>
      <c r="B92" s="23" t="n"/>
      <c r="C92" s="56" t="n"/>
      <c r="D92" s="25" t="n"/>
      <c r="E92" s="57" t="n"/>
      <c r="F92" s="58" t="n"/>
      <c r="G92" s="58" t="n"/>
      <c r="H92" s="28" t="n"/>
      <c r="I92" s="28" t="n"/>
      <c r="J92" s="23" t="n"/>
      <c r="K92" s="60">
        <f>IF(OR($A92="",$C92="",$D92=""),"",IFERROR($C92*$D92,""))</f>
        <v/>
      </c>
      <c r="L92" s="48">
        <f>IF(OR($A92="",$D92="",$E92="",$G92="",$I92&lt;&gt;"Included"),"",IFERROR($D92*$E92*$G92,""))</f>
        <v/>
      </c>
    </row>
    <row r="93">
      <c r="A93" s="23" t="n"/>
      <c r="B93" s="23" t="n"/>
      <c r="C93" s="56" t="n"/>
      <c r="D93" s="25" t="n"/>
      <c r="E93" s="57" t="n"/>
      <c r="F93" s="58" t="n"/>
      <c r="G93" s="58" t="n"/>
      <c r="H93" s="28" t="n"/>
      <c r="I93" s="28" t="n"/>
      <c r="J93" s="23" t="n"/>
      <c r="K93" s="59">
        <f>IF(OR($A93="",$C93="",$D93=""),"",IFERROR($C93*$D93,""))</f>
        <v/>
      </c>
      <c r="L93" s="50">
        <f>IF(OR($A93="",$D93="",$E93="",$G93="",$I93&lt;&gt;"Included"),"",IFERROR($D93*$E93*$G93,""))</f>
        <v/>
      </c>
    </row>
    <row r="94">
      <c r="A94" s="23" t="n"/>
      <c r="B94" s="23" t="n"/>
      <c r="C94" s="56" t="n"/>
      <c r="D94" s="25" t="n"/>
      <c r="E94" s="57" t="n"/>
      <c r="F94" s="58" t="n"/>
      <c r="G94" s="58" t="n"/>
      <c r="H94" s="28" t="n"/>
      <c r="I94" s="28" t="n"/>
      <c r="J94" s="23" t="n"/>
      <c r="K94" s="60">
        <f>IF(OR($A94="",$C94="",$D94=""),"",IFERROR($C94*$D94,""))</f>
        <v/>
      </c>
      <c r="L94" s="48">
        <f>IF(OR($A94="",$D94="",$E94="",$G94="",$I94&lt;&gt;"Included"),"",IFERROR($D94*$E94*$G94,""))</f>
        <v/>
      </c>
    </row>
    <row r="95">
      <c r="A95" s="23" t="n"/>
      <c r="B95" s="23" t="n"/>
      <c r="C95" s="56" t="n"/>
      <c r="D95" s="25" t="n"/>
      <c r="E95" s="57" t="n"/>
      <c r="F95" s="58" t="n"/>
      <c r="G95" s="58" t="n"/>
      <c r="H95" s="28" t="n"/>
      <c r="I95" s="28" t="n"/>
      <c r="J95" s="23" t="n"/>
      <c r="K95" s="59">
        <f>IF(OR($A95="",$C95="",$D95=""),"",IFERROR($C95*$D95,""))</f>
        <v/>
      </c>
      <c r="L95" s="50">
        <f>IF(OR($A95="",$D95="",$E95="",$G95="",$I95&lt;&gt;"Included"),"",IFERROR($D95*$E95*$G95,""))</f>
        <v/>
      </c>
    </row>
    <row r="96">
      <c r="A96" s="23" t="n"/>
      <c r="B96" s="23" t="n"/>
      <c r="C96" s="56" t="n"/>
      <c r="D96" s="25" t="n"/>
      <c r="E96" s="57" t="n"/>
      <c r="F96" s="58" t="n"/>
      <c r="G96" s="58" t="n"/>
      <c r="H96" s="28" t="n"/>
      <c r="I96" s="28" t="n"/>
      <c r="J96" s="23" t="n"/>
      <c r="K96" s="60">
        <f>IF(OR($A96="",$C96="",$D96=""),"",IFERROR($C96*$D96,""))</f>
        <v/>
      </c>
      <c r="L96" s="48">
        <f>IF(OR($A96="",$D96="",$E96="",$G96="",$I96&lt;&gt;"Included"),"",IFERROR($D96*$E96*$G96,""))</f>
        <v/>
      </c>
    </row>
    <row r="97">
      <c r="A97" s="23" t="n"/>
      <c r="B97" s="23" t="n"/>
      <c r="C97" s="56" t="n"/>
      <c r="D97" s="25" t="n"/>
      <c r="E97" s="57" t="n"/>
      <c r="F97" s="58" t="n"/>
      <c r="G97" s="58" t="n"/>
      <c r="H97" s="28" t="n"/>
      <c r="I97" s="28" t="n"/>
      <c r="J97" s="23" t="n"/>
      <c r="K97" s="59">
        <f>IF(OR($A97="",$C97="",$D97=""),"",IFERROR($C97*$D97,""))</f>
        <v/>
      </c>
      <c r="L97" s="50">
        <f>IF(OR($A97="",$D97="",$E97="",$G97="",$I97&lt;&gt;"Included"),"",IFERROR($D97*$E97*$G97,""))</f>
        <v/>
      </c>
    </row>
    <row r="98">
      <c r="A98" s="23" t="n"/>
      <c r="B98" s="23" t="n"/>
      <c r="C98" s="56" t="n"/>
      <c r="D98" s="25" t="n"/>
      <c r="E98" s="57" t="n"/>
      <c r="F98" s="58" t="n"/>
      <c r="G98" s="58" t="n"/>
      <c r="H98" s="28" t="n"/>
      <c r="I98" s="28" t="n"/>
      <c r="J98" s="23" t="n"/>
      <c r="K98" s="60">
        <f>IF(OR($A98="",$C98="",$D98=""),"",IFERROR($C98*$D98,""))</f>
        <v/>
      </c>
      <c r="L98" s="48">
        <f>IF(OR($A98="",$D98="",$E98="",$G98="",$I98&lt;&gt;"Included"),"",IFERROR($D98*$E98*$G98,""))</f>
        <v/>
      </c>
    </row>
    <row r="99">
      <c r="A99" s="23" t="n"/>
      <c r="B99" s="23" t="n"/>
      <c r="C99" s="56" t="n"/>
      <c r="D99" s="25" t="n"/>
      <c r="E99" s="57" t="n"/>
      <c r="F99" s="58" t="n"/>
      <c r="G99" s="58" t="n"/>
      <c r="H99" s="28" t="n"/>
      <c r="I99" s="28" t="n"/>
      <c r="J99" s="23" t="n"/>
      <c r="K99" s="59">
        <f>IF(OR($A99="",$C99="",$D99=""),"",IFERROR($C99*$D99,""))</f>
        <v/>
      </c>
      <c r="L99" s="50">
        <f>IF(OR($A99="",$D99="",$E99="",$G99="",$I99&lt;&gt;"Included"),"",IFERROR($D99*$E99*$G99,""))</f>
        <v/>
      </c>
    </row>
    <row r="100">
      <c r="A100" s="23" t="n"/>
      <c r="B100" s="23" t="n"/>
      <c r="C100" s="56" t="n"/>
      <c r="D100" s="25" t="n"/>
      <c r="E100" s="57" t="n"/>
      <c r="F100" s="58" t="n"/>
      <c r="G100" s="58" t="n"/>
      <c r="H100" s="28" t="n"/>
      <c r="I100" s="28" t="n"/>
      <c r="J100" s="23" t="n"/>
      <c r="K100" s="60">
        <f>IF(OR($A100="",$C100="",$D100=""),"",IFERROR($C100*$D100,""))</f>
        <v/>
      </c>
      <c r="L100" s="48">
        <f>IF(OR($A100="",$D100="",$E100="",$G100="",$I100&lt;&gt;"Included"),"",IFERROR($D100*$E100*$G100,""))</f>
        <v/>
      </c>
    </row>
    <row r="101">
      <c r="A101" s="23" t="n"/>
      <c r="B101" s="23" t="n"/>
      <c r="C101" s="56" t="n"/>
      <c r="D101" s="25" t="n"/>
      <c r="E101" s="57" t="n"/>
      <c r="F101" s="58" t="n"/>
      <c r="G101" s="58" t="n"/>
      <c r="H101" s="28" t="n"/>
      <c r="I101" s="28" t="n"/>
      <c r="J101" s="23" t="n"/>
      <c r="K101" s="59">
        <f>IF(OR($A101="",$C101="",$D101=""),"",IFERROR($C101*$D101,""))</f>
        <v/>
      </c>
      <c r="L101" s="50">
        <f>IF(OR($A101="",$D101="",$E101="",$G101="",$I101&lt;&gt;"Included"),"",IFERROR($D101*$E101*$G101,""))</f>
        <v/>
      </c>
    </row>
    <row r="102">
      <c r="A102" s="23" t="n"/>
      <c r="B102" s="23" t="n"/>
      <c r="C102" s="56" t="n"/>
      <c r="D102" s="25" t="n"/>
      <c r="E102" s="57" t="n"/>
      <c r="F102" s="58" t="n"/>
      <c r="G102" s="58" t="n"/>
      <c r="H102" s="28" t="n"/>
      <c r="I102" s="28" t="n"/>
      <c r="J102" s="23" t="n"/>
      <c r="K102" s="60">
        <f>IF(OR($A102="",$C102="",$D102=""),"",IFERROR($C102*$D102,""))</f>
        <v/>
      </c>
      <c r="L102" s="48">
        <f>IF(OR($A102="",$D102="",$E102="",$G102="",$I102&lt;&gt;"Included"),"",IFERROR($D102*$E102*$G102,""))</f>
        <v/>
      </c>
    </row>
    <row r="103">
      <c r="A103" s="23" t="n"/>
      <c r="B103" s="23" t="n"/>
      <c r="C103" s="56" t="n"/>
      <c r="D103" s="25" t="n"/>
      <c r="E103" s="57" t="n"/>
      <c r="F103" s="58" t="n"/>
      <c r="G103" s="58" t="n"/>
      <c r="H103" s="28" t="n"/>
      <c r="I103" s="28" t="n"/>
      <c r="J103" s="23" t="n"/>
      <c r="K103" s="59">
        <f>IF(OR($A103="",$C103="",$D103=""),"",IFERROR($C103*$D103,""))</f>
        <v/>
      </c>
      <c r="L103" s="50">
        <f>IF(OR($A103="",$D103="",$E103="",$G103="",$I103&lt;&gt;"Included"),"",IFERROR($D103*$E103*$G103,""))</f>
        <v/>
      </c>
    </row>
    <row r="104">
      <c r="A104" s="23" t="n"/>
      <c r="B104" s="23" t="n"/>
      <c r="C104" s="56" t="n"/>
      <c r="D104" s="25" t="n"/>
      <c r="E104" s="57" t="n"/>
      <c r="F104" s="58" t="n"/>
      <c r="G104" s="58" t="n"/>
      <c r="H104" s="28" t="n"/>
      <c r="I104" s="28" t="n"/>
      <c r="J104" s="23" t="n"/>
      <c r="K104" s="60">
        <f>IF(OR($A104="",$C104="",$D104=""),"",IFERROR($C104*$D104,""))</f>
        <v/>
      </c>
      <c r="L104" s="48">
        <f>IF(OR($A104="",$D104="",$E104="",$G104="",$I104&lt;&gt;"Included"),"",IFERROR($D104*$E104*$G104,""))</f>
        <v/>
      </c>
    </row>
  </sheetData>
  <autoFilter ref="A4:L104"/>
  <mergeCells count="1">
    <mergeCell ref="A1:L1"/>
  </mergeCells>
  <conditionalFormatting sqref="A5:L104">
    <cfRule type="expression" priority="1" dxfId="0" stopIfTrue="1">
      <formula>$I5="Review"</formula>
    </cfRule>
  </conditionalFormatting>
  <dataValidations count="6">
    <dataValidation sqref="C5:C104" showDropDown="0" showInputMessage="0" showErrorMessage="0" allowBlank="0" errorTitle="Review Unit Size" error="Enter a whole number from 1 through 2,000 square feet." type="whole" operator="between">
      <formula1>1</formula1>
      <formula2>2000</formula2>
    </dataValidation>
    <dataValidation sqref="D5:D104" showDropDown="0" showInputMessage="0" showErrorMessage="0" allowBlank="0" errorTitle="Review Unit Count" error="Enter a whole number from 1 through 10,000 units." type="whole" operator="between">
      <formula1>1</formula1>
      <formula2>10000</formula2>
    </dataValidation>
    <dataValidation sqref="E5:E104" showDropDown="0" showInputMessage="0" showErrorMessage="0" allowBlank="0" errorTitle="Review Monthly Rent" error="Enter a monthly rent from $0.00 through $10,000.00." type="decimal" operator="between">
      <formula1>0</formula1>
      <formula2>10000</formula2>
    </dataValidation>
    <dataValidation sqref="F5:G104" showDropDown="0" showInputMessage="0" showErrorMessage="0" allowBlank="0" errorTitle="Review Occupancy" error="Enter occupancy from 0.0% through 100.0%." type="decimal" operator="between">
      <formula1>0</formula1>
      <formula2>1</formula2>
    </dataValidation>
    <dataValidation sqref="H5:H104" showDropDown="0" showInputMessage="0" showErrorMessage="0" allowBlank="0" errorTitle="Review Owner" error="Select one of the listed owner roles." type="list">
      <formula1>"Facility Manager,Regional Operator,Acquisition Analyst,Asset Manager"</formula1>
    </dataValidation>
    <dataValidation sqref="I5:I104" showDropDown="0" showInputMessage="0" showErrorMessage="0" allowBlank="0" errorTitle="Review Status" error="Select Included, Excluded, or Review." type="list">
      <formula1>"Included,Excluded,Review"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5" customWidth="1" min="3" max="3"/>
    <col width="15" customWidth="1" min="4" max="4"/>
    <col width="13" customWidth="1" min="5" max="5"/>
    <col width="19" customWidth="1" min="6" max="6"/>
    <col width="21" customWidth="1" min="7" max="7"/>
    <col width="17" customWidth="1" min="8" max="8"/>
    <col width="15" customWidth="1" min="9" max="9"/>
    <col width="20" customWidth="1" min="10" max="10"/>
    <col width="22" customWidth="1" min="11" max="11"/>
    <col width="21" customWidth="1" min="12" max="12"/>
    <col width="19" customWidth="1" min="13" max="13"/>
    <col width="20" customWidth="1" min="14" max="14"/>
    <col width="16" customWidth="1" min="15" max="15"/>
    <col width="23" customWidth="1" min="16" max="16"/>
    <col width="15" customWidth="1" min="17" max="17"/>
  </cols>
  <sheetData>
    <row r="1" ht="28" customHeight="1">
      <c r="A1" s="1" t="inlineStr">
        <is>
          <t>Five-Year Monthly Self Storage Pro Forma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3" t="n"/>
    </row>
    <row r="2" ht="20" customHeight="1">
      <c r="A2" s="4" t="inlineStr">
        <is>
          <t>Calculated monthly results link the fictional unit mix to the editable assumptions. Review warnings require human evaluation.</t>
        </is>
      </c>
    </row>
    <row r="3"/>
    <row r="4" ht="32" customHeight="1">
      <c r="A4" s="22" t="inlineStr">
        <is>
          <t>Period</t>
        </is>
      </c>
      <c r="B4" s="22" t="inlineStr">
        <is>
          <t>Month</t>
        </is>
      </c>
      <c r="C4" s="22" t="inlineStr">
        <is>
          <t>Available Units</t>
        </is>
      </c>
      <c r="D4" s="22" t="inlineStr">
        <is>
          <t>Occupied Units</t>
        </is>
      </c>
      <c r="E4" s="22" t="inlineStr">
        <is>
          <t>Occupancy</t>
        </is>
      </c>
      <c r="F4" s="22" t="inlineStr">
        <is>
          <t>Gross Potential Rent</t>
        </is>
      </c>
      <c r="G4" s="22" t="inlineStr">
        <is>
          <t>Scheduled Rental Income</t>
        </is>
      </c>
      <c r="H4" s="22" t="inlineStr">
        <is>
          <t>Ancillary Income</t>
        </is>
      </c>
      <c r="I4" s="22" t="inlineStr">
        <is>
          <t>Other Income</t>
        </is>
      </c>
      <c r="J4" s="22" t="inlineStr">
        <is>
          <t>Effective Gross Income</t>
        </is>
      </c>
      <c r="K4" s="22" t="inlineStr">
        <is>
          <t>Variable Operating Expense</t>
        </is>
      </c>
      <c r="L4" s="22" t="inlineStr">
        <is>
          <t>Fixed Operating Expense</t>
        </is>
      </c>
      <c r="M4" s="22" t="inlineStr">
        <is>
          <t>Replacement Reserve</t>
        </is>
      </c>
      <c r="N4" s="22" t="inlineStr">
        <is>
          <t>Net Operating Income</t>
        </is>
      </c>
      <c r="O4" s="22" t="inlineStr">
        <is>
          <t>Debt Service</t>
        </is>
      </c>
      <c r="P4" s="22" t="inlineStr">
        <is>
          <t>Cash Flow After Debt Service</t>
        </is>
      </c>
      <c r="Q4" s="22" t="inlineStr">
        <is>
          <t>Review Status</t>
        </is>
      </c>
    </row>
    <row r="5">
      <c r="A5" s="31">
        <f>IF(1&lt;='Assumptions'!$B$6,1,"")</f>
        <v/>
      </c>
      <c r="B5" s="61">
        <f>IF($A5="","",IFERROR(EDATE('Assumptions'!$B$5,$A5-1),""))</f>
        <v/>
      </c>
      <c r="C5" s="31">
        <f>IF($A5="","",IFERROR(SUMIFS('Unit Mix'!$D$5:$D$104,'Unit Mix'!$A$5:$A$104,'Assumptions'!$B$4,'Unit Mix'!$I$5:$I$104,"Included"),""))</f>
        <v/>
      </c>
      <c r="D5" s="62">
        <f>IF(OR($A5="",$C5=0),"",IFERROR(SUMPRODUCT(('Unit Mix'!$A$5:$A$104='Assumptions'!$B$4)*('Unit Mix'!$I$5:$I$104="Included")*'Unit Mix'!$D$5:$D$104*('Unit Mix'!$F$5:$F$104+MIN(1,IFERROR(($A5-1)/'Assumptions'!$B$8,0))*('Unit Mix'!$G$5:$G$104-'Unit Mix'!$F$5:$F$104))),""))</f>
        <v/>
      </c>
      <c r="E5" s="49">
        <f>IF(OR($A5="",$C5=0),"",IFERROR($D5/$C5,""))</f>
        <v/>
      </c>
      <c r="F5" s="50">
        <f>IF(OR($A5="",$C5=0),"",IFERROR(SUMPRODUCT(('Unit Mix'!$A$5:$A$104='Assumptions'!$B$4)*('Unit Mix'!$I$5:$I$104="Included")*'Unit Mix'!$D$5:$D$104*'Unit Mix'!$E$5:$E$104)*(1+'Assumptions'!$B$7)^(($A5-1)/12),""))</f>
        <v/>
      </c>
      <c r="G5" s="50">
        <f>IF(OR($A5="",$C5=0),"",IFERROR(SUMPRODUCT(('Unit Mix'!$A$5:$A$104='Assumptions'!$B$4)*('Unit Mix'!$I$5:$I$104="Included")*'Unit Mix'!$D$5:$D$104*'Unit Mix'!$E$5:$E$104*('Unit Mix'!$F$5:$F$104+MIN(1,IFERROR(($A5-1)/'Assumptions'!$B$8,0))*('Unit Mix'!$G$5:$G$104-'Unit Mix'!$F$5:$F$104)))*(1+'Assumptions'!$B$7)^(($A5-1)/12),""))</f>
        <v/>
      </c>
      <c r="H5" s="50">
        <f>IF($G5="","",IFERROR($D5*'Assumptions'!$B$9*(1+'Assumptions'!$B$10)^(($A5-1)/12),""))</f>
        <v/>
      </c>
      <c r="I5" s="50">
        <f>IF($G5="","",IFERROR($G5*'Assumptions'!$B$11,""))</f>
        <v/>
      </c>
      <c r="J5" s="50">
        <f>IF($G5="","",IFERROR(SUM($G5:$I5),""))</f>
        <v/>
      </c>
      <c r="K5" s="50">
        <f>IF($J5="","",IFERROR($J5*'Assumptions'!$B$12,""))</f>
        <v/>
      </c>
      <c r="L5" s="50">
        <f>IF($J5="","",IFERROR('Assumptions'!$B$13*(1+'Assumptions'!$B$14)^(($A5-1)/12),""))</f>
        <v/>
      </c>
      <c r="M5" s="50">
        <f>IF($J5="","",IFERROR('Assumptions'!$B$15,""))</f>
        <v/>
      </c>
      <c r="N5" s="50">
        <f>IF($J5="","",IFERROR($J5-SUM($K5:$M5),""))</f>
        <v/>
      </c>
      <c r="O5" s="50">
        <f>IF($N5="","",IFERROR('Assumptions'!$B$16,""))</f>
        <v/>
      </c>
      <c r="P5" s="50">
        <f>IF($N5="","",IFERROR($N5-$O5,""))</f>
        <v/>
      </c>
      <c r="Q5" s="13">
        <f>IF($A5="","",IF($C5=0,"Review",IF(OR($E5&lt;'Assumptions'!$B$18,$P5&lt;'Assumptions'!$B$17),"Review","OK")))</f>
        <v/>
      </c>
    </row>
    <row r="6">
      <c r="A6" s="34">
        <f>IF(2&lt;='Assumptions'!$B$6,2,"")</f>
        <v/>
      </c>
      <c r="B6" s="63">
        <f>IF($A6="","",IFERROR(EDATE('Assumptions'!$B$5,$A6-1),""))</f>
        <v/>
      </c>
      <c r="C6" s="34">
        <f>IF($A6="","",IFERROR(SUMIFS('Unit Mix'!$D$5:$D$104,'Unit Mix'!$A$5:$A$104,'Assumptions'!$B$4,'Unit Mix'!$I$5:$I$104,"Included"),""))</f>
        <v/>
      </c>
      <c r="D6" s="64">
        <f>IF(OR($A6="",$C6=0),"",IFERROR(SUMPRODUCT(('Unit Mix'!$A$5:$A$104='Assumptions'!$B$4)*('Unit Mix'!$I$5:$I$104="Included")*'Unit Mix'!$D$5:$D$104*('Unit Mix'!$F$5:$F$104+MIN(1,IFERROR(($A6-1)/'Assumptions'!$B$8,0))*('Unit Mix'!$G$5:$G$104-'Unit Mix'!$F$5:$F$104))),""))</f>
        <v/>
      </c>
      <c r="E6" s="47">
        <f>IF(OR($A6="",$C6=0),"",IFERROR($D6/$C6,""))</f>
        <v/>
      </c>
      <c r="F6" s="48">
        <f>IF(OR($A6="",$C6=0),"",IFERROR(SUMPRODUCT(('Unit Mix'!$A$5:$A$104='Assumptions'!$B$4)*('Unit Mix'!$I$5:$I$104="Included")*'Unit Mix'!$D$5:$D$104*'Unit Mix'!$E$5:$E$104)*(1+'Assumptions'!$B$7)^(($A6-1)/12),""))</f>
        <v/>
      </c>
      <c r="G6" s="48">
        <f>IF(OR($A6="",$C6=0),"",IFERROR(SUMPRODUCT(('Unit Mix'!$A$5:$A$104='Assumptions'!$B$4)*('Unit Mix'!$I$5:$I$104="Included")*'Unit Mix'!$D$5:$D$104*'Unit Mix'!$E$5:$E$104*('Unit Mix'!$F$5:$F$104+MIN(1,IFERROR(($A6-1)/'Assumptions'!$B$8,0))*('Unit Mix'!$G$5:$G$104-'Unit Mix'!$F$5:$F$104)))*(1+'Assumptions'!$B$7)^(($A6-1)/12),""))</f>
        <v/>
      </c>
      <c r="H6" s="48">
        <f>IF($G6="","",IFERROR($D6*'Assumptions'!$B$9*(1+'Assumptions'!$B$10)^(($A6-1)/12),""))</f>
        <v/>
      </c>
      <c r="I6" s="48">
        <f>IF($G6="","",IFERROR($G6*'Assumptions'!$B$11,""))</f>
        <v/>
      </c>
      <c r="J6" s="48">
        <f>IF($G6="","",IFERROR(SUM($G6:$I6),""))</f>
        <v/>
      </c>
      <c r="K6" s="48">
        <f>IF($J6="","",IFERROR($J6*'Assumptions'!$B$12,""))</f>
        <v/>
      </c>
      <c r="L6" s="48">
        <f>IF($J6="","",IFERROR('Assumptions'!$B$13*(1+'Assumptions'!$B$14)^(($A6-1)/12),""))</f>
        <v/>
      </c>
      <c r="M6" s="48">
        <f>IF($J6="","",IFERROR('Assumptions'!$B$15,""))</f>
        <v/>
      </c>
      <c r="N6" s="48">
        <f>IF($J6="","",IFERROR($J6-SUM($K6:$M6),""))</f>
        <v/>
      </c>
      <c r="O6" s="48">
        <f>IF($N6="","",IFERROR('Assumptions'!$B$16,""))</f>
        <v/>
      </c>
      <c r="P6" s="48">
        <f>IF($N6="","",IFERROR($N6-$O6,""))</f>
        <v/>
      </c>
      <c r="Q6" s="9">
        <f>IF($A6="","",IF($C6=0,"Review",IF(OR($E6&lt;'Assumptions'!$B$18,$P6&lt;'Assumptions'!$B$17),"Review","OK")))</f>
        <v/>
      </c>
    </row>
    <row r="7">
      <c r="A7" s="31">
        <f>IF(3&lt;='Assumptions'!$B$6,3,"")</f>
        <v/>
      </c>
      <c r="B7" s="61">
        <f>IF($A7="","",IFERROR(EDATE('Assumptions'!$B$5,$A7-1),""))</f>
        <v/>
      </c>
      <c r="C7" s="31">
        <f>IF($A7="","",IFERROR(SUMIFS('Unit Mix'!$D$5:$D$104,'Unit Mix'!$A$5:$A$104,'Assumptions'!$B$4,'Unit Mix'!$I$5:$I$104,"Included"),""))</f>
        <v/>
      </c>
      <c r="D7" s="62">
        <f>IF(OR($A7="",$C7=0),"",IFERROR(SUMPRODUCT(('Unit Mix'!$A$5:$A$104='Assumptions'!$B$4)*('Unit Mix'!$I$5:$I$104="Included")*'Unit Mix'!$D$5:$D$104*('Unit Mix'!$F$5:$F$104+MIN(1,IFERROR(($A7-1)/'Assumptions'!$B$8,0))*('Unit Mix'!$G$5:$G$104-'Unit Mix'!$F$5:$F$104))),""))</f>
        <v/>
      </c>
      <c r="E7" s="49">
        <f>IF(OR($A7="",$C7=0),"",IFERROR($D7/$C7,""))</f>
        <v/>
      </c>
      <c r="F7" s="50">
        <f>IF(OR($A7="",$C7=0),"",IFERROR(SUMPRODUCT(('Unit Mix'!$A$5:$A$104='Assumptions'!$B$4)*('Unit Mix'!$I$5:$I$104="Included")*'Unit Mix'!$D$5:$D$104*'Unit Mix'!$E$5:$E$104)*(1+'Assumptions'!$B$7)^(($A7-1)/12),""))</f>
        <v/>
      </c>
      <c r="G7" s="50">
        <f>IF(OR($A7="",$C7=0),"",IFERROR(SUMPRODUCT(('Unit Mix'!$A$5:$A$104='Assumptions'!$B$4)*('Unit Mix'!$I$5:$I$104="Included")*'Unit Mix'!$D$5:$D$104*'Unit Mix'!$E$5:$E$104*('Unit Mix'!$F$5:$F$104+MIN(1,IFERROR(($A7-1)/'Assumptions'!$B$8,0))*('Unit Mix'!$G$5:$G$104-'Unit Mix'!$F$5:$F$104)))*(1+'Assumptions'!$B$7)^(($A7-1)/12),""))</f>
        <v/>
      </c>
      <c r="H7" s="50">
        <f>IF($G7="","",IFERROR($D7*'Assumptions'!$B$9*(1+'Assumptions'!$B$10)^(($A7-1)/12),""))</f>
        <v/>
      </c>
      <c r="I7" s="50">
        <f>IF($G7="","",IFERROR($G7*'Assumptions'!$B$11,""))</f>
        <v/>
      </c>
      <c r="J7" s="50">
        <f>IF($G7="","",IFERROR(SUM($G7:$I7),""))</f>
        <v/>
      </c>
      <c r="K7" s="50">
        <f>IF($J7="","",IFERROR($J7*'Assumptions'!$B$12,""))</f>
        <v/>
      </c>
      <c r="L7" s="50">
        <f>IF($J7="","",IFERROR('Assumptions'!$B$13*(1+'Assumptions'!$B$14)^(($A7-1)/12),""))</f>
        <v/>
      </c>
      <c r="M7" s="50">
        <f>IF($J7="","",IFERROR('Assumptions'!$B$15,""))</f>
        <v/>
      </c>
      <c r="N7" s="50">
        <f>IF($J7="","",IFERROR($J7-SUM($K7:$M7),""))</f>
        <v/>
      </c>
      <c r="O7" s="50">
        <f>IF($N7="","",IFERROR('Assumptions'!$B$16,""))</f>
        <v/>
      </c>
      <c r="P7" s="50">
        <f>IF($N7="","",IFERROR($N7-$O7,""))</f>
        <v/>
      </c>
      <c r="Q7" s="13">
        <f>IF($A7="","",IF($C7=0,"Review",IF(OR($E7&lt;'Assumptions'!$B$18,$P7&lt;'Assumptions'!$B$17),"Review","OK")))</f>
        <v/>
      </c>
    </row>
    <row r="8">
      <c r="A8" s="34">
        <f>IF(4&lt;='Assumptions'!$B$6,4,"")</f>
        <v/>
      </c>
      <c r="B8" s="63">
        <f>IF($A8="","",IFERROR(EDATE('Assumptions'!$B$5,$A8-1),""))</f>
        <v/>
      </c>
      <c r="C8" s="34">
        <f>IF($A8="","",IFERROR(SUMIFS('Unit Mix'!$D$5:$D$104,'Unit Mix'!$A$5:$A$104,'Assumptions'!$B$4,'Unit Mix'!$I$5:$I$104,"Included"),""))</f>
        <v/>
      </c>
      <c r="D8" s="64">
        <f>IF(OR($A8="",$C8=0),"",IFERROR(SUMPRODUCT(('Unit Mix'!$A$5:$A$104='Assumptions'!$B$4)*('Unit Mix'!$I$5:$I$104="Included")*'Unit Mix'!$D$5:$D$104*('Unit Mix'!$F$5:$F$104+MIN(1,IFERROR(($A8-1)/'Assumptions'!$B$8,0))*('Unit Mix'!$G$5:$G$104-'Unit Mix'!$F$5:$F$104))),""))</f>
        <v/>
      </c>
      <c r="E8" s="47">
        <f>IF(OR($A8="",$C8=0),"",IFERROR($D8/$C8,""))</f>
        <v/>
      </c>
      <c r="F8" s="48">
        <f>IF(OR($A8="",$C8=0),"",IFERROR(SUMPRODUCT(('Unit Mix'!$A$5:$A$104='Assumptions'!$B$4)*('Unit Mix'!$I$5:$I$104="Included")*'Unit Mix'!$D$5:$D$104*'Unit Mix'!$E$5:$E$104)*(1+'Assumptions'!$B$7)^(($A8-1)/12),""))</f>
        <v/>
      </c>
      <c r="G8" s="48">
        <f>IF(OR($A8="",$C8=0),"",IFERROR(SUMPRODUCT(('Unit Mix'!$A$5:$A$104='Assumptions'!$B$4)*('Unit Mix'!$I$5:$I$104="Included")*'Unit Mix'!$D$5:$D$104*'Unit Mix'!$E$5:$E$104*('Unit Mix'!$F$5:$F$104+MIN(1,IFERROR(($A8-1)/'Assumptions'!$B$8,0))*('Unit Mix'!$G$5:$G$104-'Unit Mix'!$F$5:$F$104)))*(1+'Assumptions'!$B$7)^(($A8-1)/12),""))</f>
        <v/>
      </c>
      <c r="H8" s="48">
        <f>IF($G8="","",IFERROR($D8*'Assumptions'!$B$9*(1+'Assumptions'!$B$10)^(($A8-1)/12),""))</f>
        <v/>
      </c>
      <c r="I8" s="48">
        <f>IF($G8="","",IFERROR($G8*'Assumptions'!$B$11,""))</f>
        <v/>
      </c>
      <c r="J8" s="48">
        <f>IF($G8="","",IFERROR(SUM($G8:$I8),""))</f>
        <v/>
      </c>
      <c r="K8" s="48">
        <f>IF($J8="","",IFERROR($J8*'Assumptions'!$B$12,""))</f>
        <v/>
      </c>
      <c r="L8" s="48">
        <f>IF($J8="","",IFERROR('Assumptions'!$B$13*(1+'Assumptions'!$B$14)^(($A8-1)/12),""))</f>
        <v/>
      </c>
      <c r="M8" s="48">
        <f>IF($J8="","",IFERROR('Assumptions'!$B$15,""))</f>
        <v/>
      </c>
      <c r="N8" s="48">
        <f>IF($J8="","",IFERROR($J8-SUM($K8:$M8),""))</f>
        <v/>
      </c>
      <c r="O8" s="48">
        <f>IF($N8="","",IFERROR('Assumptions'!$B$16,""))</f>
        <v/>
      </c>
      <c r="P8" s="48">
        <f>IF($N8="","",IFERROR($N8-$O8,""))</f>
        <v/>
      </c>
      <c r="Q8" s="9">
        <f>IF($A8="","",IF($C8=0,"Review",IF(OR($E8&lt;'Assumptions'!$B$18,$P8&lt;'Assumptions'!$B$17),"Review","OK")))</f>
        <v/>
      </c>
    </row>
    <row r="9">
      <c r="A9" s="31">
        <f>IF(5&lt;='Assumptions'!$B$6,5,"")</f>
        <v/>
      </c>
      <c r="B9" s="61">
        <f>IF($A9="","",IFERROR(EDATE('Assumptions'!$B$5,$A9-1),""))</f>
        <v/>
      </c>
      <c r="C9" s="31">
        <f>IF($A9="","",IFERROR(SUMIFS('Unit Mix'!$D$5:$D$104,'Unit Mix'!$A$5:$A$104,'Assumptions'!$B$4,'Unit Mix'!$I$5:$I$104,"Included"),""))</f>
        <v/>
      </c>
      <c r="D9" s="62">
        <f>IF(OR($A9="",$C9=0),"",IFERROR(SUMPRODUCT(('Unit Mix'!$A$5:$A$104='Assumptions'!$B$4)*('Unit Mix'!$I$5:$I$104="Included")*'Unit Mix'!$D$5:$D$104*('Unit Mix'!$F$5:$F$104+MIN(1,IFERROR(($A9-1)/'Assumptions'!$B$8,0))*('Unit Mix'!$G$5:$G$104-'Unit Mix'!$F$5:$F$104))),""))</f>
        <v/>
      </c>
      <c r="E9" s="49">
        <f>IF(OR($A9="",$C9=0),"",IFERROR($D9/$C9,""))</f>
        <v/>
      </c>
      <c r="F9" s="50">
        <f>IF(OR($A9="",$C9=0),"",IFERROR(SUMPRODUCT(('Unit Mix'!$A$5:$A$104='Assumptions'!$B$4)*('Unit Mix'!$I$5:$I$104="Included")*'Unit Mix'!$D$5:$D$104*'Unit Mix'!$E$5:$E$104)*(1+'Assumptions'!$B$7)^(($A9-1)/12),""))</f>
        <v/>
      </c>
      <c r="G9" s="50">
        <f>IF(OR($A9="",$C9=0),"",IFERROR(SUMPRODUCT(('Unit Mix'!$A$5:$A$104='Assumptions'!$B$4)*('Unit Mix'!$I$5:$I$104="Included")*'Unit Mix'!$D$5:$D$104*'Unit Mix'!$E$5:$E$104*('Unit Mix'!$F$5:$F$104+MIN(1,IFERROR(($A9-1)/'Assumptions'!$B$8,0))*('Unit Mix'!$G$5:$G$104-'Unit Mix'!$F$5:$F$104)))*(1+'Assumptions'!$B$7)^(($A9-1)/12),""))</f>
        <v/>
      </c>
      <c r="H9" s="50">
        <f>IF($G9="","",IFERROR($D9*'Assumptions'!$B$9*(1+'Assumptions'!$B$10)^(($A9-1)/12),""))</f>
        <v/>
      </c>
      <c r="I9" s="50">
        <f>IF($G9="","",IFERROR($G9*'Assumptions'!$B$11,""))</f>
        <v/>
      </c>
      <c r="J9" s="50">
        <f>IF($G9="","",IFERROR(SUM($G9:$I9),""))</f>
        <v/>
      </c>
      <c r="K9" s="50">
        <f>IF($J9="","",IFERROR($J9*'Assumptions'!$B$12,""))</f>
        <v/>
      </c>
      <c r="L9" s="50">
        <f>IF($J9="","",IFERROR('Assumptions'!$B$13*(1+'Assumptions'!$B$14)^(($A9-1)/12),""))</f>
        <v/>
      </c>
      <c r="M9" s="50">
        <f>IF($J9="","",IFERROR('Assumptions'!$B$15,""))</f>
        <v/>
      </c>
      <c r="N9" s="50">
        <f>IF($J9="","",IFERROR($J9-SUM($K9:$M9),""))</f>
        <v/>
      </c>
      <c r="O9" s="50">
        <f>IF($N9="","",IFERROR('Assumptions'!$B$16,""))</f>
        <v/>
      </c>
      <c r="P9" s="50">
        <f>IF($N9="","",IFERROR($N9-$O9,""))</f>
        <v/>
      </c>
      <c r="Q9" s="13">
        <f>IF($A9="","",IF($C9=0,"Review",IF(OR($E9&lt;'Assumptions'!$B$18,$P9&lt;'Assumptions'!$B$17),"Review","OK")))</f>
        <v/>
      </c>
    </row>
    <row r="10">
      <c r="A10" s="34">
        <f>IF(6&lt;='Assumptions'!$B$6,6,"")</f>
        <v/>
      </c>
      <c r="B10" s="63">
        <f>IF($A10="","",IFERROR(EDATE('Assumptions'!$B$5,$A10-1),""))</f>
        <v/>
      </c>
      <c r="C10" s="34">
        <f>IF($A10="","",IFERROR(SUMIFS('Unit Mix'!$D$5:$D$104,'Unit Mix'!$A$5:$A$104,'Assumptions'!$B$4,'Unit Mix'!$I$5:$I$104,"Included"),""))</f>
        <v/>
      </c>
      <c r="D10" s="64">
        <f>IF(OR($A10="",$C10=0),"",IFERROR(SUMPRODUCT(('Unit Mix'!$A$5:$A$104='Assumptions'!$B$4)*('Unit Mix'!$I$5:$I$104="Included")*'Unit Mix'!$D$5:$D$104*('Unit Mix'!$F$5:$F$104+MIN(1,IFERROR(($A10-1)/'Assumptions'!$B$8,0))*('Unit Mix'!$G$5:$G$104-'Unit Mix'!$F$5:$F$104))),""))</f>
        <v/>
      </c>
      <c r="E10" s="47">
        <f>IF(OR($A10="",$C10=0),"",IFERROR($D10/$C10,""))</f>
        <v/>
      </c>
      <c r="F10" s="48">
        <f>IF(OR($A10="",$C10=0),"",IFERROR(SUMPRODUCT(('Unit Mix'!$A$5:$A$104='Assumptions'!$B$4)*('Unit Mix'!$I$5:$I$104="Included")*'Unit Mix'!$D$5:$D$104*'Unit Mix'!$E$5:$E$104)*(1+'Assumptions'!$B$7)^(($A10-1)/12),""))</f>
        <v/>
      </c>
      <c r="G10" s="48">
        <f>IF(OR($A10="",$C10=0),"",IFERROR(SUMPRODUCT(('Unit Mix'!$A$5:$A$104='Assumptions'!$B$4)*('Unit Mix'!$I$5:$I$104="Included")*'Unit Mix'!$D$5:$D$104*'Unit Mix'!$E$5:$E$104*('Unit Mix'!$F$5:$F$104+MIN(1,IFERROR(($A10-1)/'Assumptions'!$B$8,0))*('Unit Mix'!$G$5:$G$104-'Unit Mix'!$F$5:$F$104)))*(1+'Assumptions'!$B$7)^(($A10-1)/12),""))</f>
        <v/>
      </c>
      <c r="H10" s="48">
        <f>IF($G10="","",IFERROR($D10*'Assumptions'!$B$9*(1+'Assumptions'!$B$10)^(($A10-1)/12),""))</f>
        <v/>
      </c>
      <c r="I10" s="48">
        <f>IF($G10="","",IFERROR($G10*'Assumptions'!$B$11,""))</f>
        <v/>
      </c>
      <c r="J10" s="48">
        <f>IF($G10="","",IFERROR(SUM($G10:$I10),""))</f>
        <v/>
      </c>
      <c r="K10" s="48">
        <f>IF($J10="","",IFERROR($J10*'Assumptions'!$B$12,""))</f>
        <v/>
      </c>
      <c r="L10" s="48">
        <f>IF($J10="","",IFERROR('Assumptions'!$B$13*(1+'Assumptions'!$B$14)^(($A10-1)/12),""))</f>
        <v/>
      </c>
      <c r="M10" s="48">
        <f>IF($J10="","",IFERROR('Assumptions'!$B$15,""))</f>
        <v/>
      </c>
      <c r="N10" s="48">
        <f>IF($J10="","",IFERROR($J10-SUM($K10:$M10),""))</f>
        <v/>
      </c>
      <c r="O10" s="48">
        <f>IF($N10="","",IFERROR('Assumptions'!$B$16,""))</f>
        <v/>
      </c>
      <c r="P10" s="48">
        <f>IF($N10="","",IFERROR($N10-$O10,""))</f>
        <v/>
      </c>
      <c r="Q10" s="9">
        <f>IF($A10="","",IF($C10=0,"Review",IF(OR($E10&lt;'Assumptions'!$B$18,$P10&lt;'Assumptions'!$B$17),"Review","OK")))</f>
        <v/>
      </c>
    </row>
    <row r="11">
      <c r="A11" s="31">
        <f>IF(7&lt;='Assumptions'!$B$6,7,"")</f>
        <v/>
      </c>
      <c r="B11" s="61">
        <f>IF($A11="","",IFERROR(EDATE('Assumptions'!$B$5,$A11-1),""))</f>
        <v/>
      </c>
      <c r="C11" s="31">
        <f>IF($A11="","",IFERROR(SUMIFS('Unit Mix'!$D$5:$D$104,'Unit Mix'!$A$5:$A$104,'Assumptions'!$B$4,'Unit Mix'!$I$5:$I$104,"Included"),""))</f>
        <v/>
      </c>
      <c r="D11" s="62">
        <f>IF(OR($A11="",$C11=0),"",IFERROR(SUMPRODUCT(('Unit Mix'!$A$5:$A$104='Assumptions'!$B$4)*('Unit Mix'!$I$5:$I$104="Included")*'Unit Mix'!$D$5:$D$104*('Unit Mix'!$F$5:$F$104+MIN(1,IFERROR(($A11-1)/'Assumptions'!$B$8,0))*('Unit Mix'!$G$5:$G$104-'Unit Mix'!$F$5:$F$104))),""))</f>
        <v/>
      </c>
      <c r="E11" s="49">
        <f>IF(OR($A11="",$C11=0),"",IFERROR($D11/$C11,""))</f>
        <v/>
      </c>
      <c r="F11" s="50">
        <f>IF(OR($A11="",$C11=0),"",IFERROR(SUMPRODUCT(('Unit Mix'!$A$5:$A$104='Assumptions'!$B$4)*('Unit Mix'!$I$5:$I$104="Included")*'Unit Mix'!$D$5:$D$104*'Unit Mix'!$E$5:$E$104)*(1+'Assumptions'!$B$7)^(($A11-1)/12),""))</f>
        <v/>
      </c>
      <c r="G11" s="50">
        <f>IF(OR($A11="",$C11=0),"",IFERROR(SUMPRODUCT(('Unit Mix'!$A$5:$A$104='Assumptions'!$B$4)*('Unit Mix'!$I$5:$I$104="Included")*'Unit Mix'!$D$5:$D$104*'Unit Mix'!$E$5:$E$104*('Unit Mix'!$F$5:$F$104+MIN(1,IFERROR(($A11-1)/'Assumptions'!$B$8,0))*('Unit Mix'!$G$5:$G$104-'Unit Mix'!$F$5:$F$104)))*(1+'Assumptions'!$B$7)^(($A11-1)/12),""))</f>
        <v/>
      </c>
      <c r="H11" s="50">
        <f>IF($G11="","",IFERROR($D11*'Assumptions'!$B$9*(1+'Assumptions'!$B$10)^(($A11-1)/12),""))</f>
        <v/>
      </c>
      <c r="I11" s="50">
        <f>IF($G11="","",IFERROR($G11*'Assumptions'!$B$11,""))</f>
        <v/>
      </c>
      <c r="J11" s="50">
        <f>IF($G11="","",IFERROR(SUM($G11:$I11),""))</f>
        <v/>
      </c>
      <c r="K11" s="50">
        <f>IF($J11="","",IFERROR($J11*'Assumptions'!$B$12,""))</f>
        <v/>
      </c>
      <c r="L11" s="50">
        <f>IF($J11="","",IFERROR('Assumptions'!$B$13*(1+'Assumptions'!$B$14)^(($A11-1)/12),""))</f>
        <v/>
      </c>
      <c r="M11" s="50">
        <f>IF($J11="","",IFERROR('Assumptions'!$B$15,""))</f>
        <v/>
      </c>
      <c r="N11" s="50">
        <f>IF($J11="","",IFERROR($J11-SUM($K11:$M11),""))</f>
        <v/>
      </c>
      <c r="O11" s="50">
        <f>IF($N11="","",IFERROR('Assumptions'!$B$16,""))</f>
        <v/>
      </c>
      <c r="P11" s="50">
        <f>IF($N11="","",IFERROR($N11-$O11,""))</f>
        <v/>
      </c>
      <c r="Q11" s="13">
        <f>IF($A11="","",IF($C11=0,"Review",IF(OR($E11&lt;'Assumptions'!$B$18,$P11&lt;'Assumptions'!$B$17),"Review","OK")))</f>
        <v/>
      </c>
    </row>
    <row r="12">
      <c r="A12" s="34">
        <f>IF(8&lt;='Assumptions'!$B$6,8,"")</f>
        <v/>
      </c>
      <c r="B12" s="63">
        <f>IF($A12="","",IFERROR(EDATE('Assumptions'!$B$5,$A12-1),""))</f>
        <v/>
      </c>
      <c r="C12" s="34">
        <f>IF($A12="","",IFERROR(SUMIFS('Unit Mix'!$D$5:$D$104,'Unit Mix'!$A$5:$A$104,'Assumptions'!$B$4,'Unit Mix'!$I$5:$I$104,"Included"),""))</f>
        <v/>
      </c>
      <c r="D12" s="64">
        <f>IF(OR($A12="",$C12=0),"",IFERROR(SUMPRODUCT(('Unit Mix'!$A$5:$A$104='Assumptions'!$B$4)*('Unit Mix'!$I$5:$I$104="Included")*'Unit Mix'!$D$5:$D$104*('Unit Mix'!$F$5:$F$104+MIN(1,IFERROR(($A12-1)/'Assumptions'!$B$8,0))*('Unit Mix'!$G$5:$G$104-'Unit Mix'!$F$5:$F$104))),""))</f>
        <v/>
      </c>
      <c r="E12" s="47">
        <f>IF(OR($A12="",$C12=0),"",IFERROR($D12/$C12,""))</f>
        <v/>
      </c>
      <c r="F12" s="48">
        <f>IF(OR($A12="",$C12=0),"",IFERROR(SUMPRODUCT(('Unit Mix'!$A$5:$A$104='Assumptions'!$B$4)*('Unit Mix'!$I$5:$I$104="Included")*'Unit Mix'!$D$5:$D$104*'Unit Mix'!$E$5:$E$104)*(1+'Assumptions'!$B$7)^(($A12-1)/12),""))</f>
        <v/>
      </c>
      <c r="G12" s="48">
        <f>IF(OR($A12="",$C12=0),"",IFERROR(SUMPRODUCT(('Unit Mix'!$A$5:$A$104='Assumptions'!$B$4)*('Unit Mix'!$I$5:$I$104="Included")*'Unit Mix'!$D$5:$D$104*'Unit Mix'!$E$5:$E$104*('Unit Mix'!$F$5:$F$104+MIN(1,IFERROR(($A12-1)/'Assumptions'!$B$8,0))*('Unit Mix'!$G$5:$G$104-'Unit Mix'!$F$5:$F$104)))*(1+'Assumptions'!$B$7)^(($A12-1)/12),""))</f>
        <v/>
      </c>
      <c r="H12" s="48">
        <f>IF($G12="","",IFERROR($D12*'Assumptions'!$B$9*(1+'Assumptions'!$B$10)^(($A12-1)/12),""))</f>
        <v/>
      </c>
      <c r="I12" s="48">
        <f>IF($G12="","",IFERROR($G12*'Assumptions'!$B$11,""))</f>
        <v/>
      </c>
      <c r="J12" s="48">
        <f>IF($G12="","",IFERROR(SUM($G12:$I12),""))</f>
        <v/>
      </c>
      <c r="K12" s="48">
        <f>IF($J12="","",IFERROR($J12*'Assumptions'!$B$12,""))</f>
        <v/>
      </c>
      <c r="L12" s="48">
        <f>IF($J12="","",IFERROR('Assumptions'!$B$13*(1+'Assumptions'!$B$14)^(($A12-1)/12),""))</f>
        <v/>
      </c>
      <c r="M12" s="48">
        <f>IF($J12="","",IFERROR('Assumptions'!$B$15,""))</f>
        <v/>
      </c>
      <c r="N12" s="48">
        <f>IF($J12="","",IFERROR($J12-SUM($K12:$M12),""))</f>
        <v/>
      </c>
      <c r="O12" s="48">
        <f>IF($N12="","",IFERROR('Assumptions'!$B$16,""))</f>
        <v/>
      </c>
      <c r="P12" s="48">
        <f>IF($N12="","",IFERROR($N12-$O12,""))</f>
        <v/>
      </c>
      <c r="Q12" s="9">
        <f>IF($A12="","",IF($C12=0,"Review",IF(OR($E12&lt;'Assumptions'!$B$18,$P12&lt;'Assumptions'!$B$17),"Review","OK")))</f>
        <v/>
      </c>
    </row>
    <row r="13">
      <c r="A13" s="31">
        <f>IF(9&lt;='Assumptions'!$B$6,9,"")</f>
        <v/>
      </c>
      <c r="B13" s="61">
        <f>IF($A13="","",IFERROR(EDATE('Assumptions'!$B$5,$A13-1),""))</f>
        <v/>
      </c>
      <c r="C13" s="31">
        <f>IF($A13="","",IFERROR(SUMIFS('Unit Mix'!$D$5:$D$104,'Unit Mix'!$A$5:$A$104,'Assumptions'!$B$4,'Unit Mix'!$I$5:$I$104,"Included"),""))</f>
        <v/>
      </c>
      <c r="D13" s="62">
        <f>IF(OR($A13="",$C13=0),"",IFERROR(SUMPRODUCT(('Unit Mix'!$A$5:$A$104='Assumptions'!$B$4)*('Unit Mix'!$I$5:$I$104="Included")*'Unit Mix'!$D$5:$D$104*('Unit Mix'!$F$5:$F$104+MIN(1,IFERROR(($A13-1)/'Assumptions'!$B$8,0))*('Unit Mix'!$G$5:$G$104-'Unit Mix'!$F$5:$F$104))),""))</f>
        <v/>
      </c>
      <c r="E13" s="49">
        <f>IF(OR($A13="",$C13=0),"",IFERROR($D13/$C13,""))</f>
        <v/>
      </c>
      <c r="F13" s="50">
        <f>IF(OR($A13="",$C13=0),"",IFERROR(SUMPRODUCT(('Unit Mix'!$A$5:$A$104='Assumptions'!$B$4)*('Unit Mix'!$I$5:$I$104="Included")*'Unit Mix'!$D$5:$D$104*'Unit Mix'!$E$5:$E$104)*(1+'Assumptions'!$B$7)^(($A13-1)/12),""))</f>
        <v/>
      </c>
      <c r="G13" s="50">
        <f>IF(OR($A13="",$C13=0),"",IFERROR(SUMPRODUCT(('Unit Mix'!$A$5:$A$104='Assumptions'!$B$4)*('Unit Mix'!$I$5:$I$104="Included")*'Unit Mix'!$D$5:$D$104*'Unit Mix'!$E$5:$E$104*('Unit Mix'!$F$5:$F$104+MIN(1,IFERROR(($A13-1)/'Assumptions'!$B$8,0))*('Unit Mix'!$G$5:$G$104-'Unit Mix'!$F$5:$F$104)))*(1+'Assumptions'!$B$7)^(($A13-1)/12),""))</f>
        <v/>
      </c>
      <c r="H13" s="50">
        <f>IF($G13="","",IFERROR($D13*'Assumptions'!$B$9*(1+'Assumptions'!$B$10)^(($A13-1)/12),""))</f>
        <v/>
      </c>
      <c r="I13" s="50">
        <f>IF($G13="","",IFERROR($G13*'Assumptions'!$B$11,""))</f>
        <v/>
      </c>
      <c r="J13" s="50">
        <f>IF($G13="","",IFERROR(SUM($G13:$I13),""))</f>
        <v/>
      </c>
      <c r="K13" s="50">
        <f>IF($J13="","",IFERROR($J13*'Assumptions'!$B$12,""))</f>
        <v/>
      </c>
      <c r="L13" s="50">
        <f>IF($J13="","",IFERROR('Assumptions'!$B$13*(1+'Assumptions'!$B$14)^(($A13-1)/12),""))</f>
        <v/>
      </c>
      <c r="M13" s="50">
        <f>IF($J13="","",IFERROR('Assumptions'!$B$15,""))</f>
        <v/>
      </c>
      <c r="N13" s="50">
        <f>IF($J13="","",IFERROR($J13-SUM($K13:$M13),""))</f>
        <v/>
      </c>
      <c r="O13" s="50">
        <f>IF($N13="","",IFERROR('Assumptions'!$B$16,""))</f>
        <v/>
      </c>
      <c r="P13" s="50">
        <f>IF($N13="","",IFERROR($N13-$O13,""))</f>
        <v/>
      </c>
      <c r="Q13" s="13">
        <f>IF($A13="","",IF($C13=0,"Review",IF(OR($E13&lt;'Assumptions'!$B$18,$P13&lt;'Assumptions'!$B$17),"Review","OK")))</f>
        <v/>
      </c>
    </row>
    <row r="14">
      <c r="A14" s="34">
        <f>IF(10&lt;='Assumptions'!$B$6,10,"")</f>
        <v/>
      </c>
      <c r="B14" s="63">
        <f>IF($A14="","",IFERROR(EDATE('Assumptions'!$B$5,$A14-1),""))</f>
        <v/>
      </c>
      <c r="C14" s="34">
        <f>IF($A14="","",IFERROR(SUMIFS('Unit Mix'!$D$5:$D$104,'Unit Mix'!$A$5:$A$104,'Assumptions'!$B$4,'Unit Mix'!$I$5:$I$104,"Included"),""))</f>
        <v/>
      </c>
      <c r="D14" s="64">
        <f>IF(OR($A14="",$C14=0),"",IFERROR(SUMPRODUCT(('Unit Mix'!$A$5:$A$104='Assumptions'!$B$4)*('Unit Mix'!$I$5:$I$104="Included")*'Unit Mix'!$D$5:$D$104*('Unit Mix'!$F$5:$F$104+MIN(1,IFERROR(($A14-1)/'Assumptions'!$B$8,0))*('Unit Mix'!$G$5:$G$104-'Unit Mix'!$F$5:$F$104))),""))</f>
        <v/>
      </c>
      <c r="E14" s="47">
        <f>IF(OR($A14="",$C14=0),"",IFERROR($D14/$C14,""))</f>
        <v/>
      </c>
      <c r="F14" s="48">
        <f>IF(OR($A14="",$C14=0),"",IFERROR(SUMPRODUCT(('Unit Mix'!$A$5:$A$104='Assumptions'!$B$4)*('Unit Mix'!$I$5:$I$104="Included")*'Unit Mix'!$D$5:$D$104*'Unit Mix'!$E$5:$E$104)*(1+'Assumptions'!$B$7)^(($A14-1)/12),""))</f>
        <v/>
      </c>
      <c r="G14" s="48">
        <f>IF(OR($A14="",$C14=0),"",IFERROR(SUMPRODUCT(('Unit Mix'!$A$5:$A$104='Assumptions'!$B$4)*('Unit Mix'!$I$5:$I$104="Included")*'Unit Mix'!$D$5:$D$104*'Unit Mix'!$E$5:$E$104*('Unit Mix'!$F$5:$F$104+MIN(1,IFERROR(($A14-1)/'Assumptions'!$B$8,0))*('Unit Mix'!$G$5:$G$104-'Unit Mix'!$F$5:$F$104)))*(1+'Assumptions'!$B$7)^(($A14-1)/12),""))</f>
        <v/>
      </c>
      <c r="H14" s="48">
        <f>IF($G14="","",IFERROR($D14*'Assumptions'!$B$9*(1+'Assumptions'!$B$10)^(($A14-1)/12),""))</f>
        <v/>
      </c>
      <c r="I14" s="48">
        <f>IF($G14="","",IFERROR($G14*'Assumptions'!$B$11,""))</f>
        <v/>
      </c>
      <c r="J14" s="48">
        <f>IF($G14="","",IFERROR(SUM($G14:$I14),""))</f>
        <v/>
      </c>
      <c r="K14" s="48">
        <f>IF($J14="","",IFERROR($J14*'Assumptions'!$B$12,""))</f>
        <v/>
      </c>
      <c r="L14" s="48">
        <f>IF($J14="","",IFERROR('Assumptions'!$B$13*(1+'Assumptions'!$B$14)^(($A14-1)/12),""))</f>
        <v/>
      </c>
      <c r="M14" s="48">
        <f>IF($J14="","",IFERROR('Assumptions'!$B$15,""))</f>
        <v/>
      </c>
      <c r="N14" s="48">
        <f>IF($J14="","",IFERROR($J14-SUM($K14:$M14),""))</f>
        <v/>
      </c>
      <c r="O14" s="48">
        <f>IF($N14="","",IFERROR('Assumptions'!$B$16,""))</f>
        <v/>
      </c>
      <c r="P14" s="48">
        <f>IF($N14="","",IFERROR($N14-$O14,""))</f>
        <v/>
      </c>
      <c r="Q14" s="9">
        <f>IF($A14="","",IF($C14=0,"Review",IF(OR($E14&lt;'Assumptions'!$B$18,$P14&lt;'Assumptions'!$B$17),"Review","OK")))</f>
        <v/>
      </c>
    </row>
    <row r="15">
      <c r="A15" s="31">
        <f>IF(11&lt;='Assumptions'!$B$6,11,"")</f>
        <v/>
      </c>
      <c r="B15" s="61">
        <f>IF($A15="","",IFERROR(EDATE('Assumptions'!$B$5,$A15-1),""))</f>
        <v/>
      </c>
      <c r="C15" s="31">
        <f>IF($A15="","",IFERROR(SUMIFS('Unit Mix'!$D$5:$D$104,'Unit Mix'!$A$5:$A$104,'Assumptions'!$B$4,'Unit Mix'!$I$5:$I$104,"Included"),""))</f>
        <v/>
      </c>
      <c r="D15" s="62">
        <f>IF(OR($A15="",$C15=0),"",IFERROR(SUMPRODUCT(('Unit Mix'!$A$5:$A$104='Assumptions'!$B$4)*('Unit Mix'!$I$5:$I$104="Included")*'Unit Mix'!$D$5:$D$104*('Unit Mix'!$F$5:$F$104+MIN(1,IFERROR(($A15-1)/'Assumptions'!$B$8,0))*('Unit Mix'!$G$5:$G$104-'Unit Mix'!$F$5:$F$104))),""))</f>
        <v/>
      </c>
      <c r="E15" s="49">
        <f>IF(OR($A15="",$C15=0),"",IFERROR($D15/$C15,""))</f>
        <v/>
      </c>
      <c r="F15" s="50">
        <f>IF(OR($A15="",$C15=0),"",IFERROR(SUMPRODUCT(('Unit Mix'!$A$5:$A$104='Assumptions'!$B$4)*('Unit Mix'!$I$5:$I$104="Included")*'Unit Mix'!$D$5:$D$104*'Unit Mix'!$E$5:$E$104)*(1+'Assumptions'!$B$7)^(($A15-1)/12),""))</f>
        <v/>
      </c>
      <c r="G15" s="50">
        <f>IF(OR($A15="",$C15=0),"",IFERROR(SUMPRODUCT(('Unit Mix'!$A$5:$A$104='Assumptions'!$B$4)*('Unit Mix'!$I$5:$I$104="Included")*'Unit Mix'!$D$5:$D$104*'Unit Mix'!$E$5:$E$104*('Unit Mix'!$F$5:$F$104+MIN(1,IFERROR(($A15-1)/'Assumptions'!$B$8,0))*('Unit Mix'!$G$5:$G$104-'Unit Mix'!$F$5:$F$104)))*(1+'Assumptions'!$B$7)^(($A15-1)/12),""))</f>
        <v/>
      </c>
      <c r="H15" s="50">
        <f>IF($G15="","",IFERROR($D15*'Assumptions'!$B$9*(1+'Assumptions'!$B$10)^(($A15-1)/12),""))</f>
        <v/>
      </c>
      <c r="I15" s="50">
        <f>IF($G15="","",IFERROR($G15*'Assumptions'!$B$11,""))</f>
        <v/>
      </c>
      <c r="J15" s="50">
        <f>IF($G15="","",IFERROR(SUM($G15:$I15),""))</f>
        <v/>
      </c>
      <c r="K15" s="50">
        <f>IF($J15="","",IFERROR($J15*'Assumptions'!$B$12,""))</f>
        <v/>
      </c>
      <c r="L15" s="50">
        <f>IF($J15="","",IFERROR('Assumptions'!$B$13*(1+'Assumptions'!$B$14)^(($A15-1)/12),""))</f>
        <v/>
      </c>
      <c r="M15" s="50">
        <f>IF($J15="","",IFERROR('Assumptions'!$B$15,""))</f>
        <v/>
      </c>
      <c r="N15" s="50">
        <f>IF($J15="","",IFERROR($J15-SUM($K15:$M15),""))</f>
        <v/>
      </c>
      <c r="O15" s="50">
        <f>IF($N15="","",IFERROR('Assumptions'!$B$16,""))</f>
        <v/>
      </c>
      <c r="P15" s="50">
        <f>IF($N15="","",IFERROR($N15-$O15,""))</f>
        <v/>
      </c>
      <c r="Q15" s="13">
        <f>IF($A15="","",IF($C15=0,"Review",IF(OR($E15&lt;'Assumptions'!$B$18,$P15&lt;'Assumptions'!$B$17),"Review","OK")))</f>
        <v/>
      </c>
    </row>
    <row r="16">
      <c r="A16" s="34">
        <f>IF(12&lt;='Assumptions'!$B$6,12,"")</f>
        <v/>
      </c>
      <c r="B16" s="63">
        <f>IF($A16="","",IFERROR(EDATE('Assumptions'!$B$5,$A16-1),""))</f>
        <v/>
      </c>
      <c r="C16" s="34">
        <f>IF($A16="","",IFERROR(SUMIFS('Unit Mix'!$D$5:$D$104,'Unit Mix'!$A$5:$A$104,'Assumptions'!$B$4,'Unit Mix'!$I$5:$I$104,"Included"),""))</f>
        <v/>
      </c>
      <c r="D16" s="64">
        <f>IF(OR($A16="",$C16=0),"",IFERROR(SUMPRODUCT(('Unit Mix'!$A$5:$A$104='Assumptions'!$B$4)*('Unit Mix'!$I$5:$I$104="Included")*'Unit Mix'!$D$5:$D$104*('Unit Mix'!$F$5:$F$104+MIN(1,IFERROR(($A16-1)/'Assumptions'!$B$8,0))*('Unit Mix'!$G$5:$G$104-'Unit Mix'!$F$5:$F$104))),""))</f>
        <v/>
      </c>
      <c r="E16" s="47">
        <f>IF(OR($A16="",$C16=0),"",IFERROR($D16/$C16,""))</f>
        <v/>
      </c>
      <c r="F16" s="48">
        <f>IF(OR($A16="",$C16=0),"",IFERROR(SUMPRODUCT(('Unit Mix'!$A$5:$A$104='Assumptions'!$B$4)*('Unit Mix'!$I$5:$I$104="Included")*'Unit Mix'!$D$5:$D$104*'Unit Mix'!$E$5:$E$104)*(1+'Assumptions'!$B$7)^(($A16-1)/12),""))</f>
        <v/>
      </c>
      <c r="G16" s="48">
        <f>IF(OR($A16="",$C16=0),"",IFERROR(SUMPRODUCT(('Unit Mix'!$A$5:$A$104='Assumptions'!$B$4)*('Unit Mix'!$I$5:$I$104="Included")*'Unit Mix'!$D$5:$D$104*'Unit Mix'!$E$5:$E$104*('Unit Mix'!$F$5:$F$104+MIN(1,IFERROR(($A16-1)/'Assumptions'!$B$8,0))*('Unit Mix'!$G$5:$G$104-'Unit Mix'!$F$5:$F$104)))*(1+'Assumptions'!$B$7)^(($A16-1)/12),""))</f>
        <v/>
      </c>
      <c r="H16" s="48">
        <f>IF($G16="","",IFERROR($D16*'Assumptions'!$B$9*(1+'Assumptions'!$B$10)^(($A16-1)/12),""))</f>
        <v/>
      </c>
      <c r="I16" s="48">
        <f>IF($G16="","",IFERROR($G16*'Assumptions'!$B$11,""))</f>
        <v/>
      </c>
      <c r="J16" s="48">
        <f>IF($G16="","",IFERROR(SUM($G16:$I16),""))</f>
        <v/>
      </c>
      <c r="K16" s="48">
        <f>IF($J16="","",IFERROR($J16*'Assumptions'!$B$12,""))</f>
        <v/>
      </c>
      <c r="L16" s="48">
        <f>IF($J16="","",IFERROR('Assumptions'!$B$13*(1+'Assumptions'!$B$14)^(($A16-1)/12),""))</f>
        <v/>
      </c>
      <c r="M16" s="48">
        <f>IF($J16="","",IFERROR('Assumptions'!$B$15,""))</f>
        <v/>
      </c>
      <c r="N16" s="48">
        <f>IF($J16="","",IFERROR($J16-SUM($K16:$M16),""))</f>
        <v/>
      </c>
      <c r="O16" s="48">
        <f>IF($N16="","",IFERROR('Assumptions'!$B$16,""))</f>
        <v/>
      </c>
      <c r="P16" s="48">
        <f>IF($N16="","",IFERROR($N16-$O16,""))</f>
        <v/>
      </c>
      <c r="Q16" s="9">
        <f>IF($A16="","",IF($C16=0,"Review",IF(OR($E16&lt;'Assumptions'!$B$18,$P16&lt;'Assumptions'!$B$17),"Review","OK")))</f>
        <v/>
      </c>
    </row>
    <row r="17">
      <c r="A17" s="31">
        <f>IF(13&lt;='Assumptions'!$B$6,13,"")</f>
        <v/>
      </c>
      <c r="B17" s="61">
        <f>IF($A17="","",IFERROR(EDATE('Assumptions'!$B$5,$A17-1),""))</f>
        <v/>
      </c>
      <c r="C17" s="31">
        <f>IF($A17="","",IFERROR(SUMIFS('Unit Mix'!$D$5:$D$104,'Unit Mix'!$A$5:$A$104,'Assumptions'!$B$4,'Unit Mix'!$I$5:$I$104,"Included"),""))</f>
        <v/>
      </c>
      <c r="D17" s="62">
        <f>IF(OR($A17="",$C17=0),"",IFERROR(SUMPRODUCT(('Unit Mix'!$A$5:$A$104='Assumptions'!$B$4)*('Unit Mix'!$I$5:$I$104="Included")*'Unit Mix'!$D$5:$D$104*('Unit Mix'!$F$5:$F$104+MIN(1,IFERROR(($A17-1)/'Assumptions'!$B$8,0))*('Unit Mix'!$G$5:$G$104-'Unit Mix'!$F$5:$F$104))),""))</f>
        <v/>
      </c>
      <c r="E17" s="49">
        <f>IF(OR($A17="",$C17=0),"",IFERROR($D17/$C17,""))</f>
        <v/>
      </c>
      <c r="F17" s="50">
        <f>IF(OR($A17="",$C17=0),"",IFERROR(SUMPRODUCT(('Unit Mix'!$A$5:$A$104='Assumptions'!$B$4)*('Unit Mix'!$I$5:$I$104="Included")*'Unit Mix'!$D$5:$D$104*'Unit Mix'!$E$5:$E$104)*(1+'Assumptions'!$B$7)^(($A17-1)/12),""))</f>
        <v/>
      </c>
      <c r="G17" s="50">
        <f>IF(OR($A17="",$C17=0),"",IFERROR(SUMPRODUCT(('Unit Mix'!$A$5:$A$104='Assumptions'!$B$4)*('Unit Mix'!$I$5:$I$104="Included")*'Unit Mix'!$D$5:$D$104*'Unit Mix'!$E$5:$E$104*('Unit Mix'!$F$5:$F$104+MIN(1,IFERROR(($A17-1)/'Assumptions'!$B$8,0))*('Unit Mix'!$G$5:$G$104-'Unit Mix'!$F$5:$F$104)))*(1+'Assumptions'!$B$7)^(($A17-1)/12),""))</f>
        <v/>
      </c>
      <c r="H17" s="50">
        <f>IF($G17="","",IFERROR($D17*'Assumptions'!$B$9*(1+'Assumptions'!$B$10)^(($A17-1)/12),""))</f>
        <v/>
      </c>
      <c r="I17" s="50">
        <f>IF($G17="","",IFERROR($G17*'Assumptions'!$B$11,""))</f>
        <v/>
      </c>
      <c r="J17" s="50">
        <f>IF($G17="","",IFERROR(SUM($G17:$I17),""))</f>
        <v/>
      </c>
      <c r="K17" s="50">
        <f>IF($J17="","",IFERROR($J17*'Assumptions'!$B$12,""))</f>
        <v/>
      </c>
      <c r="L17" s="50">
        <f>IF($J17="","",IFERROR('Assumptions'!$B$13*(1+'Assumptions'!$B$14)^(($A17-1)/12),""))</f>
        <v/>
      </c>
      <c r="M17" s="50">
        <f>IF($J17="","",IFERROR('Assumptions'!$B$15,""))</f>
        <v/>
      </c>
      <c r="N17" s="50">
        <f>IF($J17="","",IFERROR($J17-SUM($K17:$M17),""))</f>
        <v/>
      </c>
      <c r="O17" s="50">
        <f>IF($N17="","",IFERROR('Assumptions'!$B$16,""))</f>
        <v/>
      </c>
      <c r="P17" s="50">
        <f>IF($N17="","",IFERROR($N17-$O17,""))</f>
        <v/>
      </c>
      <c r="Q17" s="13">
        <f>IF($A17="","",IF($C17=0,"Review",IF(OR($E17&lt;'Assumptions'!$B$18,$P17&lt;'Assumptions'!$B$17),"Review","OK")))</f>
        <v/>
      </c>
    </row>
    <row r="18">
      <c r="A18" s="34">
        <f>IF(14&lt;='Assumptions'!$B$6,14,"")</f>
        <v/>
      </c>
      <c r="B18" s="63">
        <f>IF($A18="","",IFERROR(EDATE('Assumptions'!$B$5,$A18-1),""))</f>
        <v/>
      </c>
      <c r="C18" s="34">
        <f>IF($A18="","",IFERROR(SUMIFS('Unit Mix'!$D$5:$D$104,'Unit Mix'!$A$5:$A$104,'Assumptions'!$B$4,'Unit Mix'!$I$5:$I$104,"Included"),""))</f>
        <v/>
      </c>
      <c r="D18" s="64">
        <f>IF(OR($A18="",$C18=0),"",IFERROR(SUMPRODUCT(('Unit Mix'!$A$5:$A$104='Assumptions'!$B$4)*('Unit Mix'!$I$5:$I$104="Included")*'Unit Mix'!$D$5:$D$104*('Unit Mix'!$F$5:$F$104+MIN(1,IFERROR(($A18-1)/'Assumptions'!$B$8,0))*('Unit Mix'!$G$5:$G$104-'Unit Mix'!$F$5:$F$104))),""))</f>
        <v/>
      </c>
      <c r="E18" s="47">
        <f>IF(OR($A18="",$C18=0),"",IFERROR($D18/$C18,""))</f>
        <v/>
      </c>
      <c r="F18" s="48">
        <f>IF(OR($A18="",$C18=0),"",IFERROR(SUMPRODUCT(('Unit Mix'!$A$5:$A$104='Assumptions'!$B$4)*('Unit Mix'!$I$5:$I$104="Included")*'Unit Mix'!$D$5:$D$104*'Unit Mix'!$E$5:$E$104)*(1+'Assumptions'!$B$7)^(($A18-1)/12),""))</f>
        <v/>
      </c>
      <c r="G18" s="48">
        <f>IF(OR($A18="",$C18=0),"",IFERROR(SUMPRODUCT(('Unit Mix'!$A$5:$A$104='Assumptions'!$B$4)*('Unit Mix'!$I$5:$I$104="Included")*'Unit Mix'!$D$5:$D$104*'Unit Mix'!$E$5:$E$104*('Unit Mix'!$F$5:$F$104+MIN(1,IFERROR(($A18-1)/'Assumptions'!$B$8,0))*('Unit Mix'!$G$5:$G$104-'Unit Mix'!$F$5:$F$104)))*(1+'Assumptions'!$B$7)^(($A18-1)/12),""))</f>
        <v/>
      </c>
      <c r="H18" s="48">
        <f>IF($G18="","",IFERROR($D18*'Assumptions'!$B$9*(1+'Assumptions'!$B$10)^(($A18-1)/12),""))</f>
        <v/>
      </c>
      <c r="I18" s="48">
        <f>IF($G18="","",IFERROR($G18*'Assumptions'!$B$11,""))</f>
        <v/>
      </c>
      <c r="J18" s="48">
        <f>IF($G18="","",IFERROR(SUM($G18:$I18),""))</f>
        <v/>
      </c>
      <c r="K18" s="48">
        <f>IF($J18="","",IFERROR($J18*'Assumptions'!$B$12,""))</f>
        <v/>
      </c>
      <c r="L18" s="48">
        <f>IF($J18="","",IFERROR('Assumptions'!$B$13*(1+'Assumptions'!$B$14)^(($A18-1)/12),""))</f>
        <v/>
      </c>
      <c r="M18" s="48">
        <f>IF($J18="","",IFERROR('Assumptions'!$B$15,""))</f>
        <v/>
      </c>
      <c r="N18" s="48">
        <f>IF($J18="","",IFERROR($J18-SUM($K18:$M18),""))</f>
        <v/>
      </c>
      <c r="O18" s="48">
        <f>IF($N18="","",IFERROR('Assumptions'!$B$16,""))</f>
        <v/>
      </c>
      <c r="P18" s="48">
        <f>IF($N18="","",IFERROR($N18-$O18,""))</f>
        <v/>
      </c>
      <c r="Q18" s="9">
        <f>IF($A18="","",IF($C18=0,"Review",IF(OR($E18&lt;'Assumptions'!$B$18,$P18&lt;'Assumptions'!$B$17),"Review","OK")))</f>
        <v/>
      </c>
    </row>
    <row r="19">
      <c r="A19" s="31">
        <f>IF(15&lt;='Assumptions'!$B$6,15,"")</f>
        <v/>
      </c>
      <c r="B19" s="61">
        <f>IF($A19="","",IFERROR(EDATE('Assumptions'!$B$5,$A19-1),""))</f>
        <v/>
      </c>
      <c r="C19" s="31">
        <f>IF($A19="","",IFERROR(SUMIFS('Unit Mix'!$D$5:$D$104,'Unit Mix'!$A$5:$A$104,'Assumptions'!$B$4,'Unit Mix'!$I$5:$I$104,"Included"),""))</f>
        <v/>
      </c>
      <c r="D19" s="62">
        <f>IF(OR($A19="",$C19=0),"",IFERROR(SUMPRODUCT(('Unit Mix'!$A$5:$A$104='Assumptions'!$B$4)*('Unit Mix'!$I$5:$I$104="Included")*'Unit Mix'!$D$5:$D$104*('Unit Mix'!$F$5:$F$104+MIN(1,IFERROR(($A19-1)/'Assumptions'!$B$8,0))*('Unit Mix'!$G$5:$G$104-'Unit Mix'!$F$5:$F$104))),""))</f>
        <v/>
      </c>
      <c r="E19" s="49">
        <f>IF(OR($A19="",$C19=0),"",IFERROR($D19/$C19,""))</f>
        <v/>
      </c>
      <c r="F19" s="50">
        <f>IF(OR($A19="",$C19=0),"",IFERROR(SUMPRODUCT(('Unit Mix'!$A$5:$A$104='Assumptions'!$B$4)*('Unit Mix'!$I$5:$I$104="Included")*'Unit Mix'!$D$5:$D$104*'Unit Mix'!$E$5:$E$104)*(1+'Assumptions'!$B$7)^(($A19-1)/12),""))</f>
        <v/>
      </c>
      <c r="G19" s="50">
        <f>IF(OR($A19="",$C19=0),"",IFERROR(SUMPRODUCT(('Unit Mix'!$A$5:$A$104='Assumptions'!$B$4)*('Unit Mix'!$I$5:$I$104="Included")*'Unit Mix'!$D$5:$D$104*'Unit Mix'!$E$5:$E$104*('Unit Mix'!$F$5:$F$104+MIN(1,IFERROR(($A19-1)/'Assumptions'!$B$8,0))*('Unit Mix'!$G$5:$G$104-'Unit Mix'!$F$5:$F$104)))*(1+'Assumptions'!$B$7)^(($A19-1)/12),""))</f>
        <v/>
      </c>
      <c r="H19" s="50">
        <f>IF($G19="","",IFERROR($D19*'Assumptions'!$B$9*(1+'Assumptions'!$B$10)^(($A19-1)/12),""))</f>
        <v/>
      </c>
      <c r="I19" s="50">
        <f>IF($G19="","",IFERROR($G19*'Assumptions'!$B$11,""))</f>
        <v/>
      </c>
      <c r="J19" s="50">
        <f>IF($G19="","",IFERROR(SUM($G19:$I19),""))</f>
        <v/>
      </c>
      <c r="K19" s="50">
        <f>IF($J19="","",IFERROR($J19*'Assumptions'!$B$12,""))</f>
        <v/>
      </c>
      <c r="L19" s="50">
        <f>IF($J19="","",IFERROR('Assumptions'!$B$13*(1+'Assumptions'!$B$14)^(($A19-1)/12),""))</f>
        <v/>
      </c>
      <c r="M19" s="50">
        <f>IF($J19="","",IFERROR('Assumptions'!$B$15,""))</f>
        <v/>
      </c>
      <c r="N19" s="50">
        <f>IF($J19="","",IFERROR($J19-SUM($K19:$M19),""))</f>
        <v/>
      </c>
      <c r="O19" s="50">
        <f>IF($N19="","",IFERROR('Assumptions'!$B$16,""))</f>
        <v/>
      </c>
      <c r="P19" s="50">
        <f>IF($N19="","",IFERROR($N19-$O19,""))</f>
        <v/>
      </c>
      <c r="Q19" s="13">
        <f>IF($A19="","",IF($C19=0,"Review",IF(OR($E19&lt;'Assumptions'!$B$18,$P19&lt;'Assumptions'!$B$17),"Review","OK")))</f>
        <v/>
      </c>
    </row>
    <row r="20">
      <c r="A20" s="34">
        <f>IF(16&lt;='Assumptions'!$B$6,16,"")</f>
        <v/>
      </c>
      <c r="B20" s="63">
        <f>IF($A20="","",IFERROR(EDATE('Assumptions'!$B$5,$A20-1),""))</f>
        <v/>
      </c>
      <c r="C20" s="34">
        <f>IF($A20="","",IFERROR(SUMIFS('Unit Mix'!$D$5:$D$104,'Unit Mix'!$A$5:$A$104,'Assumptions'!$B$4,'Unit Mix'!$I$5:$I$104,"Included"),""))</f>
        <v/>
      </c>
      <c r="D20" s="64">
        <f>IF(OR($A20="",$C20=0),"",IFERROR(SUMPRODUCT(('Unit Mix'!$A$5:$A$104='Assumptions'!$B$4)*('Unit Mix'!$I$5:$I$104="Included")*'Unit Mix'!$D$5:$D$104*('Unit Mix'!$F$5:$F$104+MIN(1,IFERROR(($A20-1)/'Assumptions'!$B$8,0))*('Unit Mix'!$G$5:$G$104-'Unit Mix'!$F$5:$F$104))),""))</f>
        <v/>
      </c>
      <c r="E20" s="47">
        <f>IF(OR($A20="",$C20=0),"",IFERROR($D20/$C20,""))</f>
        <v/>
      </c>
      <c r="F20" s="48">
        <f>IF(OR($A20="",$C20=0),"",IFERROR(SUMPRODUCT(('Unit Mix'!$A$5:$A$104='Assumptions'!$B$4)*('Unit Mix'!$I$5:$I$104="Included")*'Unit Mix'!$D$5:$D$104*'Unit Mix'!$E$5:$E$104)*(1+'Assumptions'!$B$7)^(($A20-1)/12),""))</f>
        <v/>
      </c>
      <c r="G20" s="48">
        <f>IF(OR($A20="",$C20=0),"",IFERROR(SUMPRODUCT(('Unit Mix'!$A$5:$A$104='Assumptions'!$B$4)*('Unit Mix'!$I$5:$I$104="Included")*'Unit Mix'!$D$5:$D$104*'Unit Mix'!$E$5:$E$104*('Unit Mix'!$F$5:$F$104+MIN(1,IFERROR(($A20-1)/'Assumptions'!$B$8,0))*('Unit Mix'!$G$5:$G$104-'Unit Mix'!$F$5:$F$104)))*(1+'Assumptions'!$B$7)^(($A20-1)/12),""))</f>
        <v/>
      </c>
      <c r="H20" s="48">
        <f>IF($G20="","",IFERROR($D20*'Assumptions'!$B$9*(1+'Assumptions'!$B$10)^(($A20-1)/12),""))</f>
        <v/>
      </c>
      <c r="I20" s="48">
        <f>IF($G20="","",IFERROR($G20*'Assumptions'!$B$11,""))</f>
        <v/>
      </c>
      <c r="J20" s="48">
        <f>IF($G20="","",IFERROR(SUM($G20:$I20),""))</f>
        <v/>
      </c>
      <c r="K20" s="48">
        <f>IF($J20="","",IFERROR($J20*'Assumptions'!$B$12,""))</f>
        <v/>
      </c>
      <c r="L20" s="48">
        <f>IF($J20="","",IFERROR('Assumptions'!$B$13*(1+'Assumptions'!$B$14)^(($A20-1)/12),""))</f>
        <v/>
      </c>
      <c r="M20" s="48">
        <f>IF($J20="","",IFERROR('Assumptions'!$B$15,""))</f>
        <v/>
      </c>
      <c r="N20" s="48">
        <f>IF($J20="","",IFERROR($J20-SUM($K20:$M20),""))</f>
        <v/>
      </c>
      <c r="O20" s="48">
        <f>IF($N20="","",IFERROR('Assumptions'!$B$16,""))</f>
        <v/>
      </c>
      <c r="P20" s="48">
        <f>IF($N20="","",IFERROR($N20-$O20,""))</f>
        <v/>
      </c>
      <c r="Q20" s="9">
        <f>IF($A20="","",IF($C20=0,"Review",IF(OR($E20&lt;'Assumptions'!$B$18,$P20&lt;'Assumptions'!$B$17),"Review","OK")))</f>
        <v/>
      </c>
    </row>
    <row r="21">
      <c r="A21" s="31">
        <f>IF(17&lt;='Assumptions'!$B$6,17,"")</f>
        <v/>
      </c>
      <c r="B21" s="61">
        <f>IF($A21="","",IFERROR(EDATE('Assumptions'!$B$5,$A21-1),""))</f>
        <v/>
      </c>
      <c r="C21" s="31">
        <f>IF($A21="","",IFERROR(SUMIFS('Unit Mix'!$D$5:$D$104,'Unit Mix'!$A$5:$A$104,'Assumptions'!$B$4,'Unit Mix'!$I$5:$I$104,"Included"),""))</f>
        <v/>
      </c>
      <c r="D21" s="62">
        <f>IF(OR($A21="",$C21=0),"",IFERROR(SUMPRODUCT(('Unit Mix'!$A$5:$A$104='Assumptions'!$B$4)*('Unit Mix'!$I$5:$I$104="Included")*'Unit Mix'!$D$5:$D$104*('Unit Mix'!$F$5:$F$104+MIN(1,IFERROR(($A21-1)/'Assumptions'!$B$8,0))*('Unit Mix'!$G$5:$G$104-'Unit Mix'!$F$5:$F$104))),""))</f>
        <v/>
      </c>
      <c r="E21" s="49">
        <f>IF(OR($A21="",$C21=0),"",IFERROR($D21/$C21,""))</f>
        <v/>
      </c>
      <c r="F21" s="50">
        <f>IF(OR($A21="",$C21=0),"",IFERROR(SUMPRODUCT(('Unit Mix'!$A$5:$A$104='Assumptions'!$B$4)*('Unit Mix'!$I$5:$I$104="Included")*'Unit Mix'!$D$5:$D$104*'Unit Mix'!$E$5:$E$104)*(1+'Assumptions'!$B$7)^(($A21-1)/12),""))</f>
        <v/>
      </c>
      <c r="G21" s="50">
        <f>IF(OR($A21="",$C21=0),"",IFERROR(SUMPRODUCT(('Unit Mix'!$A$5:$A$104='Assumptions'!$B$4)*('Unit Mix'!$I$5:$I$104="Included")*'Unit Mix'!$D$5:$D$104*'Unit Mix'!$E$5:$E$104*('Unit Mix'!$F$5:$F$104+MIN(1,IFERROR(($A21-1)/'Assumptions'!$B$8,0))*('Unit Mix'!$G$5:$G$104-'Unit Mix'!$F$5:$F$104)))*(1+'Assumptions'!$B$7)^(($A21-1)/12),""))</f>
        <v/>
      </c>
      <c r="H21" s="50">
        <f>IF($G21="","",IFERROR($D21*'Assumptions'!$B$9*(1+'Assumptions'!$B$10)^(($A21-1)/12),""))</f>
        <v/>
      </c>
      <c r="I21" s="50">
        <f>IF($G21="","",IFERROR($G21*'Assumptions'!$B$11,""))</f>
        <v/>
      </c>
      <c r="J21" s="50">
        <f>IF($G21="","",IFERROR(SUM($G21:$I21),""))</f>
        <v/>
      </c>
      <c r="K21" s="50">
        <f>IF($J21="","",IFERROR($J21*'Assumptions'!$B$12,""))</f>
        <v/>
      </c>
      <c r="L21" s="50">
        <f>IF($J21="","",IFERROR('Assumptions'!$B$13*(1+'Assumptions'!$B$14)^(($A21-1)/12),""))</f>
        <v/>
      </c>
      <c r="M21" s="50">
        <f>IF($J21="","",IFERROR('Assumptions'!$B$15,""))</f>
        <v/>
      </c>
      <c r="N21" s="50">
        <f>IF($J21="","",IFERROR($J21-SUM($K21:$M21),""))</f>
        <v/>
      </c>
      <c r="O21" s="50">
        <f>IF($N21="","",IFERROR('Assumptions'!$B$16,""))</f>
        <v/>
      </c>
      <c r="P21" s="50">
        <f>IF($N21="","",IFERROR($N21-$O21,""))</f>
        <v/>
      </c>
      <c r="Q21" s="13">
        <f>IF($A21="","",IF($C21=0,"Review",IF(OR($E21&lt;'Assumptions'!$B$18,$P21&lt;'Assumptions'!$B$17),"Review","OK")))</f>
        <v/>
      </c>
    </row>
    <row r="22">
      <c r="A22" s="34">
        <f>IF(18&lt;='Assumptions'!$B$6,18,"")</f>
        <v/>
      </c>
      <c r="B22" s="63">
        <f>IF($A22="","",IFERROR(EDATE('Assumptions'!$B$5,$A22-1),""))</f>
        <v/>
      </c>
      <c r="C22" s="34">
        <f>IF($A22="","",IFERROR(SUMIFS('Unit Mix'!$D$5:$D$104,'Unit Mix'!$A$5:$A$104,'Assumptions'!$B$4,'Unit Mix'!$I$5:$I$104,"Included"),""))</f>
        <v/>
      </c>
      <c r="D22" s="64">
        <f>IF(OR($A22="",$C22=0),"",IFERROR(SUMPRODUCT(('Unit Mix'!$A$5:$A$104='Assumptions'!$B$4)*('Unit Mix'!$I$5:$I$104="Included")*'Unit Mix'!$D$5:$D$104*('Unit Mix'!$F$5:$F$104+MIN(1,IFERROR(($A22-1)/'Assumptions'!$B$8,0))*('Unit Mix'!$G$5:$G$104-'Unit Mix'!$F$5:$F$104))),""))</f>
        <v/>
      </c>
      <c r="E22" s="47">
        <f>IF(OR($A22="",$C22=0),"",IFERROR($D22/$C22,""))</f>
        <v/>
      </c>
      <c r="F22" s="48">
        <f>IF(OR($A22="",$C22=0),"",IFERROR(SUMPRODUCT(('Unit Mix'!$A$5:$A$104='Assumptions'!$B$4)*('Unit Mix'!$I$5:$I$104="Included")*'Unit Mix'!$D$5:$D$104*'Unit Mix'!$E$5:$E$104)*(1+'Assumptions'!$B$7)^(($A22-1)/12),""))</f>
        <v/>
      </c>
      <c r="G22" s="48">
        <f>IF(OR($A22="",$C22=0),"",IFERROR(SUMPRODUCT(('Unit Mix'!$A$5:$A$104='Assumptions'!$B$4)*('Unit Mix'!$I$5:$I$104="Included")*'Unit Mix'!$D$5:$D$104*'Unit Mix'!$E$5:$E$104*('Unit Mix'!$F$5:$F$104+MIN(1,IFERROR(($A22-1)/'Assumptions'!$B$8,0))*('Unit Mix'!$G$5:$G$104-'Unit Mix'!$F$5:$F$104)))*(1+'Assumptions'!$B$7)^(($A22-1)/12),""))</f>
        <v/>
      </c>
      <c r="H22" s="48">
        <f>IF($G22="","",IFERROR($D22*'Assumptions'!$B$9*(1+'Assumptions'!$B$10)^(($A22-1)/12),""))</f>
        <v/>
      </c>
      <c r="I22" s="48">
        <f>IF($G22="","",IFERROR($G22*'Assumptions'!$B$11,""))</f>
        <v/>
      </c>
      <c r="J22" s="48">
        <f>IF($G22="","",IFERROR(SUM($G22:$I22),""))</f>
        <v/>
      </c>
      <c r="K22" s="48">
        <f>IF($J22="","",IFERROR($J22*'Assumptions'!$B$12,""))</f>
        <v/>
      </c>
      <c r="L22" s="48">
        <f>IF($J22="","",IFERROR('Assumptions'!$B$13*(1+'Assumptions'!$B$14)^(($A22-1)/12),""))</f>
        <v/>
      </c>
      <c r="M22" s="48">
        <f>IF($J22="","",IFERROR('Assumptions'!$B$15,""))</f>
        <v/>
      </c>
      <c r="N22" s="48">
        <f>IF($J22="","",IFERROR($J22-SUM($K22:$M22),""))</f>
        <v/>
      </c>
      <c r="O22" s="48">
        <f>IF($N22="","",IFERROR('Assumptions'!$B$16,""))</f>
        <v/>
      </c>
      <c r="P22" s="48">
        <f>IF($N22="","",IFERROR($N22-$O22,""))</f>
        <v/>
      </c>
      <c r="Q22" s="9">
        <f>IF($A22="","",IF($C22=0,"Review",IF(OR($E22&lt;'Assumptions'!$B$18,$P22&lt;'Assumptions'!$B$17),"Review","OK")))</f>
        <v/>
      </c>
    </row>
    <row r="23">
      <c r="A23" s="31">
        <f>IF(19&lt;='Assumptions'!$B$6,19,"")</f>
        <v/>
      </c>
      <c r="B23" s="61">
        <f>IF($A23="","",IFERROR(EDATE('Assumptions'!$B$5,$A23-1),""))</f>
        <v/>
      </c>
      <c r="C23" s="31">
        <f>IF($A23="","",IFERROR(SUMIFS('Unit Mix'!$D$5:$D$104,'Unit Mix'!$A$5:$A$104,'Assumptions'!$B$4,'Unit Mix'!$I$5:$I$104,"Included"),""))</f>
        <v/>
      </c>
      <c r="D23" s="62">
        <f>IF(OR($A23="",$C23=0),"",IFERROR(SUMPRODUCT(('Unit Mix'!$A$5:$A$104='Assumptions'!$B$4)*('Unit Mix'!$I$5:$I$104="Included")*'Unit Mix'!$D$5:$D$104*('Unit Mix'!$F$5:$F$104+MIN(1,IFERROR(($A23-1)/'Assumptions'!$B$8,0))*('Unit Mix'!$G$5:$G$104-'Unit Mix'!$F$5:$F$104))),""))</f>
        <v/>
      </c>
      <c r="E23" s="49">
        <f>IF(OR($A23="",$C23=0),"",IFERROR($D23/$C23,""))</f>
        <v/>
      </c>
      <c r="F23" s="50">
        <f>IF(OR($A23="",$C23=0),"",IFERROR(SUMPRODUCT(('Unit Mix'!$A$5:$A$104='Assumptions'!$B$4)*('Unit Mix'!$I$5:$I$104="Included")*'Unit Mix'!$D$5:$D$104*'Unit Mix'!$E$5:$E$104)*(1+'Assumptions'!$B$7)^(($A23-1)/12),""))</f>
        <v/>
      </c>
      <c r="G23" s="50">
        <f>IF(OR($A23="",$C23=0),"",IFERROR(SUMPRODUCT(('Unit Mix'!$A$5:$A$104='Assumptions'!$B$4)*('Unit Mix'!$I$5:$I$104="Included")*'Unit Mix'!$D$5:$D$104*'Unit Mix'!$E$5:$E$104*('Unit Mix'!$F$5:$F$104+MIN(1,IFERROR(($A23-1)/'Assumptions'!$B$8,0))*('Unit Mix'!$G$5:$G$104-'Unit Mix'!$F$5:$F$104)))*(1+'Assumptions'!$B$7)^(($A23-1)/12),""))</f>
        <v/>
      </c>
      <c r="H23" s="50">
        <f>IF($G23="","",IFERROR($D23*'Assumptions'!$B$9*(1+'Assumptions'!$B$10)^(($A23-1)/12),""))</f>
        <v/>
      </c>
      <c r="I23" s="50">
        <f>IF($G23="","",IFERROR($G23*'Assumptions'!$B$11,""))</f>
        <v/>
      </c>
      <c r="J23" s="50">
        <f>IF($G23="","",IFERROR(SUM($G23:$I23),""))</f>
        <v/>
      </c>
      <c r="K23" s="50">
        <f>IF($J23="","",IFERROR($J23*'Assumptions'!$B$12,""))</f>
        <v/>
      </c>
      <c r="L23" s="50">
        <f>IF($J23="","",IFERROR('Assumptions'!$B$13*(1+'Assumptions'!$B$14)^(($A23-1)/12),""))</f>
        <v/>
      </c>
      <c r="M23" s="50">
        <f>IF($J23="","",IFERROR('Assumptions'!$B$15,""))</f>
        <v/>
      </c>
      <c r="N23" s="50">
        <f>IF($J23="","",IFERROR($J23-SUM($K23:$M23),""))</f>
        <v/>
      </c>
      <c r="O23" s="50">
        <f>IF($N23="","",IFERROR('Assumptions'!$B$16,""))</f>
        <v/>
      </c>
      <c r="P23" s="50">
        <f>IF($N23="","",IFERROR($N23-$O23,""))</f>
        <v/>
      </c>
      <c r="Q23" s="13">
        <f>IF($A23="","",IF($C23=0,"Review",IF(OR($E23&lt;'Assumptions'!$B$18,$P23&lt;'Assumptions'!$B$17),"Review","OK")))</f>
        <v/>
      </c>
    </row>
    <row r="24">
      <c r="A24" s="34">
        <f>IF(20&lt;='Assumptions'!$B$6,20,"")</f>
        <v/>
      </c>
      <c r="B24" s="63">
        <f>IF($A24="","",IFERROR(EDATE('Assumptions'!$B$5,$A24-1),""))</f>
        <v/>
      </c>
      <c r="C24" s="34">
        <f>IF($A24="","",IFERROR(SUMIFS('Unit Mix'!$D$5:$D$104,'Unit Mix'!$A$5:$A$104,'Assumptions'!$B$4,'Unit Mix'!$I$5:$I$104,"Included"),""))</f>
        <v/>
      </c>
      <c r="D24" s="64">
        <f>IF(OR($A24="",$C24=0),"",IFERROR(SUMPRODUCT(('Unit Mix'!$A$5:$A$104='Assumptions'!$B$4)*('Unit Mix'!$I$5:$I$104="Included")*'Unit Mix'!$D$5:$D$104*('Unit Mix'!$F$5:$F$104+MIN(1,IFERROR(($A24-1)/'Assumptions'!$B$8,0))*('Unit Mix'!$G$5:$G$104-'Unit Mix'!$F$5:$F$104))),""))</f>
        <v/>
      </c>
      <c r="E24" s="47">
        <f>IF(OR($A24="",$C24=0),"",IFERROR($D24/$C24,""))</f>
        <v/>
      </c>
      <c r="F24" s="48">
        <f>IF(OR($A24="",$C24=0),"",IFERROR(SUMPRODUCT(('Unit Mix'!$A$5:$A$104='Assumptions'!$B$4)*('Unit Mix'!$I$5:$I$104="Included")*'Unit Mix'!$D$5:$D$104*'Unit Mix'!$E$5:$E$104)*(1+'Assumptions'!$B$7)^(($A24-1)/12),""))</f>
        <v/>
      </c>
      <c r="G24" s="48">
        <f>IF(OR($A24="",$C24=0),"",IFERROR(SUMPRODUCT(('Unit Mix'!$A$5:$A$104='Assumptions'!$B$4)*('Unit Mix'!$I$5:$I$104="Included")*'Unit Mix'!$D$5:$D$104*'Unit Mix'!$E$5:$E$104*('Unit Mix'!$F$5:$F$104+MIN(1,IFERROR(($A24-1)/'Assumptions'!$B$8,0))*('Unit Mix'!$G$5:$G$104-'Unit Mix'!$F$5:$F$104)))*(1+'Assumptions'!$B$7)^(($A24-1)/12),""))</f>
        <v/>
      </c>
      <c r="H24" s="48">
        <f>IF($G24="","",IFERROR($D24*'Assumptions'!$B$9*(1+'Assumptions'!$B$10)^(($A24-1)/12),""))</f>
        <v/>
      </c>
      <c r="I24" s="48">
        <f>IF($G24="","",IFERROR($G24*'Assumptions'!$B$11,""))</f>
        <v/>
      </c>
      <c r="J24" s="48">
        <f>IF($G24="","",IFERROR(SUM($G24:$I24),""))</f>
        <v/>
      </c>
      <c r="K24" s="48">
        <f>IF($J24="","",IFERROR($J24*'Assumptions'!$B$12,""))</f>
        <v/>
      </c>
      <c r="L24" s="48">
        <f>IF($J24="","",IFERROR('Assumptions'!$B$13*(1+'Assumptions'!$B$14)^(($A24-1)/12),""))</f>
        <v/>
      </c>
      <c r="M24" s="48">
        <f>IF($J24="","",IFERROR('Assumptions'!$B$15,""))</f>
        <v/>
      </c>
      <c r="N24" s="48">
        <f>IF($J24="","",IFERROR($J24-SUM($K24:$M24),""))</f>
        <v/>
      </c>
      <c r="O24" s="48">
        <f>IF($N24="","",IFERROR('Assumptions'!$B$16,""))</f>
        <v/>
      </c>
      <c r="P24" s="48">
        <f>IF($N24="","",IFERROR($N24-$O24,""))</f>
        <v/>
      </c>
      <c r="Q24" s="9">
        <f>IF($A24="","",IF($C24=0,"Review",IF(OR($E24&lt;'Assumptions'!$B$18,$P24&lt;'Assumptions'!$B$17),"Review","OK")))</f>
        <v/>
      </c>
    </row>
    <row r="25">
      <c r="A25" s="31">
        <f>IF(21&lt;='Assumptions'!$B$6,21,"")</f>
        <v/>
      </c>
      <c r="B25" s="61">
        <f>IF($A25="","",IFERROR(EDATE('Assumptions'!$B$5,$A25-1),""))</f>
        <v/>
      </c>
      <c r="C25" s="31">
        <f>IF($A25="","",IFERROR(SUMIFS('Unit Mix'!$D$5:$D$104,'Unit Mix'!$A$5:$A$104,'Assumptions'!$B$4,'Unit Mix'!$I$5:$I$104,"Included"),""))</f>
        <v/>
      </c>
      <c r="D25" s="62">
        <f>IF(OR($A25="",$C25=0),"",IFERROR(SUMPRODUCT(('Unit Mix'!$A$5:$A$104='Assumptions'!$B$4)*('Unit Mix'!$I$5:$I$104="Included")*'Unit Mix'!$D$5:$D$104*('Unit Mix'!$F$5:$F$104+MIN(1,IFERROR(($A25-1)/'Assumptions'!$B$8,0))*('Unit Mix'!$G$5:$G$104-'Unit Mix'!$F$5:$F$104))),""))</f>
        <v/>
      </c>
      <c r="E25" s="49">
        <f>IF(OR($A25="",$C25=0),"",IFERROR($D25/$C25,""))</f>
        <v/>
      </c>
      <c r="F25" s="50">
        <f>IF(OR($A25="",$C25=0),"",IFERROR(SUMPRODUCT(('Unit Mix'!$A$5:$A$104='Assumptions'!$B$4)*('Unit Mix'!$I$5:$I$104="Included")*'Unit Mix'!$D$5:$D$104*'Unit Mix'!$E$5:$E$104)*(1+'Assumptions'!$B$7)^(($A25-1)/12),""))</f>
        <v/>
      </c>
      <c r="G25" s="50">
        <f>IF(OR($A25="",$C25=0),"",IFERROR(SUMPRODUCT(('Unit Mix'!$A$5:$A$104='Assumptions'!$B$4)*('Unit Mix'!$I$5:$I$104="Included")*'Unit Mix'!$D$5:$D$104*'Unit Mix'!$E$5:$E$104*('Unit Mix'!$F$5:$F$104+MIN(1,IFERROR(($A25-1)/'Assumptions'!$B$8,0))*('Unit Mix'!$G$5:$G$104-'Unit Mix'!$F$5:$F$104)))*(1+'Assumptions'!$B$7)^(($A25-1)/12),""))</f>
        <v/>
      </c>
      <c r="H25" s="50">
        <f>IF($G25="","",IFERROR($D25*'Assumptions'!$B$9*(1+'Assumptions'!$B$10)^(($A25-1)/12),""))</f>
        <v/>
      </c>
      <c r="I25" s="50">
        <f>IF($G25="","",IFERROR($G25*'Assumptions'!$B$11,""))</f>
        <v/>
      </c>
      <c r="J25" s="50">
        <f>IF($G25="","",IFERROR(SUM($G25:$I25),""))</f>
        <v/>
      </c>
      <c r="K25" s="50">
        <f>IF($J25="","",IFERROR($J25*'Assumptions'!$B$12,""))</f>
        <v/>
      </c>
      <c r="L25" s="50">
        <f>IF($J25="","",IFERROR('Assumptions'!$B$13*(1+'Assumptions'!$B$14)^(($A25-1)/12),""))</f>
        <v/>
      </c>
      <c r="M25" s="50">
        <f>IF($J25="","",IFERROR('Assumptions'!$B$15,""))</f>
        <v/>
      </c>
      <c r="N25" s="50">
        <f>IF($J25="","",IFERROR($J25-SUM($K25:$M25),""))</f>
        <v/>
      </c>
      <c r="O25" s="50">
        <f>IF($N25="","",IFERROR('Assumptions'!$B$16,""))</f>
        <v/>
      </c>
      <c r="P25" s="50">
        <f>IF($N25="","",IFERROR($N25-$O25,""))</f>
        <v/>
      </c>
      <c r="Q25" s="13">
        <f>IF($A25="","",IF($C25=0,"Review",IF(OR($E25&lt;'Assumptions'!$B$18,$P25&lt;'Assumptions'!$B$17),"Review","OK")))</f>
        <v/>
      </c>
    </row>
    <row r="26">
      <c r="A26" s="34">
        <f>IF(22&lt;='Assumptions'!$B$6,22,"")</f>
        <v/>
      </c>
      <c r="B26" s="63">
        <f>IF($A26="","",IFERROR(EDATE('Assumptions'!$B$5,$A26-1),""))</f>
        <v/>
      </c>
      <c r="C26" s="34">
        <f>IF($A26="","",IFERROR(SUMIFS('Unit Mix'!$D$5:$D$104,'Unit Mix'!$A$5:$A$104,'Assumptions'!$B$4,'Unit Mix'!$I$5:$I$104,"Included"),""))</f>
        <v/>
      </c>
      <c r="D26" s="64">
        <f>IF(OR($A26="",$C26=0),"",IFERROR(SUMPRODUCT(('Unit Mix'!$A$5:$A$104='Assumptions'!$B$4)*('Unit Mix'!$I$5:$I$104="Included")*'Unit Mix'!$D$5:$D$104*('Unit Mix'!$F$5:$F$104+MIN(1,IFERROR(($A26-1)/'Assumptions'!$B$8,0))*('Unit Mix'!$G$5:$G$104-'Unit Mix'!$F$5:$F$104))),""))</f>
        <v/>
      </c>
      <c r="E26" s="47">
        <f>IF(OR($A26="",$C26=0),"",IFERROR($D26/$C26,""))</f>
        <v/>
      </c>
      <c r="F26" s="48">
        <f>IF(OR($A26="",$C26=0),"",IFERROR(SUMPRODUCT(('Unit Mix'!$A$5:$A$104='Assumptions'!$B$4)*('Unit Mix'!$I$5:$I$104="Included")*'Unit Mix'!$D$5:$D$104*'Unit Mix'!$E$5:$E$104)*(1+'Assumptions'!$B$7)^(($A26-1)/12),""))</f>
        <v/>
      </c>
      <c r="G26" s="48">
        <f>IF(OR($A26="",$C26=0),"",IFERROR(SUMPRODUCT(('Unit Mix'!$A$5:$A$104='Assumptions'!$B$4)*('Unit Mix'!$I$5:$I$104="Included")*'Unit Mix'!$D$5:$D$104*'Unit Mix'!$E$5:$E$104*('Unit Mix'!$F$5:$F$104+MIN(1,IFERROR(($A26-1)/'Assumptions'!$B$8,0))*('Unit Mix'!$G$5:$G$104-'Unit Mix'!$F$5:$F$104)))*(1+'Assumptions'!$B$7)^(($A26-1)/12),""))</f>
        <v/>
      </c>
      <c r="H26" s="48">
        <f>IF($G26="","",IFERROR($D26*'Assumptions'!$B$9*(1+'Assumptions'!$B$10)^(($A26-1)/12),""))</f>
        <v/>
      </c>
      <c r="I26" s="48">
        <f>IF($G26="","",IFERROR($G26*'Assumptions'!$B$11,""))</f>
        <v/>
      </c>
      <c r="J26" s="48">
        <f>IF($G26="","",IFERROR(SUM($G26:$I26),""))</f>
        <v/>
      </c>
      <c r="K26" s="48">
        <f>IF($J26="","",IFERROR($J26*'Assumptions'!$B$12,""))</f>
        <v/>
      </c>
      <c r="L26" s="48">
        <f>IF($J26="","",IFERROR('Assumptions'!$B$13*(1+'Assumptions'!$B$14)^(($A26-1)/12),""))</f>
        <v/>
      </c>
      <c r="M26" s="48">
        <f>IF($J26="","",IFERROR('Assumptions'!$B$15,""))</f>
        <v/>
      </c>
      <c r="N26" s="48">
        <f>IF($J26="","",IFERROR($J26-SUM($K26:$M26),""))</f>
        <v/>
      </c>
      <c r="O26" s="48">
        <f>IF($N26="","",IFERROR('Assumptions'!$B$16,""))</f>
        <v/>
      </c>
      <c r="P26" s="48">
        <f>IF($N26="","",IFERROR($N26-$O26,""))</f>
        <v/>
      </c>
      <c r="Q26" s="9">
        <f>IF($A26="","",IF($C26=0,"Review",IF(OR($E26&lt;'Assumptions'!$B$18,$P26&lt;'Assumptions'!$B$17),"Review","OK")))</f>
        <v/>
      </c>
    </row>
    <row r="27">
      <c r="A27" s="31">
        <f>IF(23&lt;='Assumptions'!$B$6,23,"")</f>
        <v/>
      </c>
      <c r="B27" s="61">
        <f>IF($A27="","",IFERROR(EDATE('Assumptions'!$B$5,$A27-1),""))</f>
        <v/>
      </c>
      <c r="C27" s="31">
        <f>IF($A27="","",IFERROR(SUMIFS('Unit Mix'!$D$5:$D$104,'Unit Mix'!$A$5:$A$104,'Assumptions'!$B$4,'Unit Mix'!$I$5:$I$104,"Included"),""))</f>
        <v/>
      </c>
      <c r="D27" s="62">
        <f>IF(OR($A27="",$C27=0),"",IFERROR(SUMPRODUCT(('Unit Mix'!$A$5:$A$104='Assumptions'!$B$4)*('Unit Mix'!$I$5:$I$104="Included")*'Unit Mix'!$D$5:$D$104*('Unit Mix'!$F$5:$F$104+MIN(1,IFERROR(($A27-1)/'Assumptions'!$B$8,0))*('Unit Mix'!$G$5:$G$104-'Unit Mix'!$F$5:$F$104))),""))</f>
        <v/>
      </c>
      <c r="E27" s="49">
        <f>IF(OR($A27="",$C27=0),"",IFERROR($D27/$C27,""))</f>
        <v/>
      </c>
      <c r="F27" s="50">
        <f>IF(OR($A27="",$C27=0),"",IFERROR(SUMPRODUCT(('Unit Mix'!$A$5:$A$104='Assumptions'!$B$4)*('Unit Mix'!$I$5:$I$104="Included")*'Unit Mix'!$D$5:$D$104*'Unit Mix'!$E$5:$E$104)*(1+'Assumptions'!$B$7)^(($A27-1)/12),""))</f>
        <v/>
      </c>
      <c r="G27" s="50">
        <f>IF(OR($A27="",$C27=0),"",IFERROR(SUMPRODUCT(('Unit Mix'!$A$5:$A$104='Assumptions'!$B$4)*('Unit Mix'!$I$5:$I$104="Included")*'Unit Mix'!$D$5:$D$104*'Unit Mix'!$E$5:$E$104*('Unit Mix'!$F$5:$F$104+MIN(1,IFERROR(($A27-1)/'Assumptions'!$B$8,0))*('Unit Mix'!$G$5:$G$104-'Unit Mix'!$F$5:$F$104)))*(1+'Assumptions'!$B$7)^(($A27-1)/12),""))</f>
        <v/>
      </c>
      <c r="H27" s="50">
        <f>IF($G27="","",IFERROR($D27*'Assumptions'!$B$9*(1+'Assumptions'!$B$10)^(($A27-1)/12),""))</f>
        <v/>
      </c>
      <c r="I27" s="50">
        <f>IF($G27="","",IFERROR($G27*'Assumptions'!$B$11,""))</f>
        <v/>
      </c>
      <c r="J27" s="50">
        <f>IF($G27="","",IFERROR(SUM($G27:$I27),""))</f>
        <v/>
      </c>
      <c r="K27" s="50">
        <f>IF($J27="","",IFERROR($J27*'Assumptions'!$B$12,""))</f>
        <v/>
      </c>
      <c r="L27" s="50">
        <f>IF($J27="","",IFERROR('Assumptions'!$B$13*(1+'Assumptions'!$B$14)^(($A27-1)/12),""))</f>
        <v/>
      </c>
      <c r="M27" s="50">
        <f>IF($J27="","",IFERROR('Assumptions'!$B$15,""))</f>
        <v/>
      </c>
      <c r="N27" s="50">
        <f>IF($J27="","",IFERROR($J27-SUM($K27:$M27),""))</f>
        <v/>
      </c>
      <c r="O27" s="50">
        <f>IF($N27="","",IFERROR('Assumptions'!$B$16,""))</f>
        <v/>
      </c>
      <c r="P27" s="50">
        <f>IF($N27="","",IFERROR($N27-$O27,""))</f>
        <v/>
      </c>
      <c r="Q27" s="13">
        <f>IF($A27="","",IF($C27=0,"Review",IF(OR($E27&lt;'Assumptions'!$B$18,$P27&lt;'Assumptions'!$B$17),"Review","OK")))</f>
        <v/>
      </c>
    </row>
    <row r="28">
      <c r="A28" s="34">
        <f>IF(24&lt;='Assumptions'!$B$6,24,"")</f>
        <v/>
      </c>
      <c r="B28" s="63">
        <f>IF($A28="","",IFERROR(EDATE('Assumptions'!$B$5,$A28-1),""))</f>
        <v/>
      </c>
      <c r="C28" s="34">
        <f>IF($A28="","",IFERROR(SUMIFS('Unit Mix'!$D$5:$D$104,'Unit Mix'!$A$5:$A$104,'Assumptions'!$B$4,'Unit Mix'!$I$5:$I$104,"Included"),""))</f>
        <v/>
      </c>
      <c r="D28" s="64">
        <f>IF(OR($A28="",$C28=0),"",IFERROR(SUMPRODUCT(('Unit Mix'!$A$5:$A$104='Assumptions'!$B$4)*('Unit Mix'!$I$5:$I$104="Included")*'Unit Mix'!$D$5:$D$104*('Unit Mix'!$F$5:$F$104+MIN(1,IFERROR(($A28-1)/'Assumptions'!$B$8,0))*('Unit Mix'!$G$5:$G$104-'Unit Mix'!$F$5:$F$104))),""))</f>
        <v/>
      </c>
      <c r="E28" s="47">
        <f>IF(OR($A28="",$C28=0),"",IFERROR($D28/$C28,""))</f>
        <v/>
      </c>
      <c r="F28" s="48">
        <f>IF(OR($A28="",$C28=0),"",IFERROR(SUMPRODUCT(('Unit Mix'!$A$5:$A$104='Assumptions'!$B$4)*('Unit Mix'!$I$5:$I$104="Included")*'Unit Mix'!$D$5:$D$104*'Unit Mix'!$E$5:$E$104)*(1+'Assumptions'!$B$7)^(($A28-1)/12),""))</f>
        <v/>
      </c>
      <c r="G28" s="48">
        <f>IF(OR($A28="",$C28=0),"",IFERROR(SUMPRODUCT(('Unit Mix'!$A$5:$A$104='Assumptions'!$B$4)*('Unit Mix'!$I$5:$I$104="Included")*'Unit Mix'!$D$5:$D$104*'Unit Mix'!$E$5:$E$104*('Unit Mix'!$F$5:$F$104+MIN(1,IFERROR(($A28-1)/'Assumptions'!$B$8,0))*('Unit Mix'!$G$5:$G$104-'Unit Mix'!$F$5:$F$104)))*(1+'Assumptions'!$B$7)^(($A28-1)/12),""))</f>
        <v/>
      </c>
      <c r="H28" s="48">
        <f>IF($G28="","",IFERROR($D28*'Assumptions'!$B$9*(1+'Assumptions'!$B$10)^(($A28-1)/12),""))</f>
        <v/>
      </c>
      <c r="I28" s="48">
        <f>IF($G28="","",IFERROR($G28*'Assumptions'!$B$11,""))</f>
        <v/>
      </c>
      <c r="J28" s="48">
        <f>IF($G28="","",IFERROR(SUM($G28:$I28),""))</f>
        <v/>
      </c>
      <c r="K28" s="48">
        <f>IF($J28="","",IFERROR($J28*'Assumptions'!$B$12,""))</f>
        <v/>
      </c>
      <c r="L28" s="48">
        <f>IF($J28="","",IFERROR('Assumptions'!$B$13*(1+'Assumptions'!$B$14)^(($A28-1)/12),""))</f>
        <v/>
      </c>
      <c r="M28" s="48">
        <f>IF($J28="","",IFERROR('Assumptions'!$B$15,""))</f>
        <v/>
      </c>
      <c r="N28" s="48">
        <f>IF($J28="","",IFERROR($J28-SUM($K28:$M28),""))</f>
        <v/>
      </c>
      <c r="O28" s="48">
        <f>IF($N28="","",IFERROR('Assumptions'!$B$16,""))</f>
        <v/>
      </c>
      <c r="P28" s="48">
        <f>IF($N28="","",IFERROR($N28-$O28,""))</f>
        <v/>
      </c>
      <c r="Q28" s="9">
        <f>IF($A28="","",IF($C28=0,"Review",IF(OR($E28&lt;'Assumptions'!$B$18,$P28&lt;'Assumptions'!$B$17),"Review","OK")))</f>
        <v/>
      </c>
    </row>
    <row r="29">
      <c r="A29" s="31">
        <f>IF(25&lt;='Assumptions'!$B$6,25,"")</f>
        <v/>
      </c>
      <c r="B29" s="61">
        <f>IF($A29="","",IFERROR(EDATE('Assumptions'!$B$5,$A29-1),""))</f>
        <v/>
      </c>
      <c r="C29" s="31">
        <f>IF($A29="","",IFERROR(SUMIFS('Unit Mix'!$D$5:$D$104,'Unit Mix'!$A$5:$A$104,'Assumptions'!$B$4,'Unit Mix'!$I$5:$I$104,"Included"),""))</f>
        <v/>
      </c>
      <c r="D29" s="62">
        <f>IF(OR($A29="",$C29=0),"",IFERROR(SUMPRODUCT(('Unit Mix'!$A$5:$A$104='Assumptions'!$B$4)*('Unit Mix'!$I$5:$I$104="Included")*'Unit Mix'!$D$5:$D$104*('Unit Mix'!$F$5:$F$104+MIN(1,IFERROR(($A29-1)/'Assumptions'!$B$8,0))*('Unit Mix'!$G$5:$G$104-'Unit Mix'!$F$5:$F$104))),""))</f>
        <v/>
      </c>
      <c r="E29" s="49">
        <f>IF(OR($A29="",$C29=0),"",IFERROR($D29/$C29,""))</f>
        <v/>
      </c>
      <c r="F29" s="50">
        <f>IF(OR($A29="",$C29=0),"",IFERROR(SUMPRODUCT(('Unit Mix'!$A$5:$A$104='Assumptions'!$B$4)*('Unit Mix'!$I$5:$I$104="Included")*'Unit Mix'!$D$5:$D$104*'Unit Mix'!$E$5:$E$104)*(1+'Assumptions'!$B$7)^(($A29-1)/12),""))</f>
        <v/>
      </c>
      <c r="G29" s="50">
        <f>IF(OR($A29="",$C29=0),"",IFERROR(SUMPRODUCT(('Unit Mix'!$A$5:$A$104='Assumptions'!$B$4)*('Unit Mix'!$I$5:$I$104="Included")*'Unit Mix'!$D$5:$D$104*'Unit Mix'!$E$5:$E$104*('Unit Mix'!$F$5:$F$104+MIN(1,IFERROR(($A29-1)/'Assumptions'!$B$8,0))*('Unit Mix'!$G$5:$G$104-'Unit Mix'!$F$5:$F$104)))*(1+'Assumptions'!$B$7)^(($A29-1)/12),""))</f>
        <v/>
      </c>
      <c r="H29" s="50">
        <f>IF($G29="","",IFERROR($D29*'Assumptions'!$B$9*(1+'Assumptions'!$B$10)^(($A29-1)/12),""))</f>
        <v/>
      </c>
      <c r="I29" s="50">
        <f>IF($G29="","",IFERROR($G29*'Assumptions'!$B$11,""))</f>
        <v/>
      </c>
      <c r="J29" s="50">
        <f>IF($G29="","",IFERROR(SUM($G29:$I29),""))</f>
        <v/>
      </c>
      <c r="K29" s="50">
        <f>IF($J29="","",IFERROR($J29*'Assumptions'!$B$12,""))</f>
        <v/>
      </c>
      <c r="L29" s="50">
        <f>IF($J29="","",IFERROR('Assumptions'!$B$13*(1+'Assumptions'!$B$14)^(($A29-1)/12),""))</f>
        <v/>
      </c>
      <c r="M29" s="50">
        <f>IF($J29="","",IFERROR('Assumptions'!$B$15,""))</f>
        <v/>
      </c>
      <c r="N29" s="50">
        <f>IF($J29="","",IFERROR($J29-SUM($K29:$M29),""))</f>
        <v/>
      </c>
      <c r="O29" s="50">
        <f>IF($N29="","",IFERROR('Assumptions'!$B$16,""))</f>
        <v/>
      </c>
      <c r="P29" s="50">
        <f>IF($N29="","",IFERROR($N29-$O29,""))</f>
        <v/>
      </c>
      <c r="Q29" s="13">
        <f>IF($A29="","",IF($C29=0,"Review",IF(OR($E29&lt;'Assumptions'!$B$18,$P29&lt;'Assumptions'!$B$17),"Review","OK")))</f>
        <v/>
      </c>
    </row>
    <row r="30">
      <c r="A30" s="34">
        <f>IF(26&lt;='Assumptions'!$B$6,26,"")</f>
        <v/>
      </c>
      <c r="B30" s="63">
        <f>IF($A30="","",IFERROR(EDATE('Assumptions'!$B$5,$A30-1),""))</f>
        <v/>
      </c>
      <c r="C30" s="34">
        <f>IF($A30="","",IFERROR(SUMIFS('Unit Mix'!$D$5:$D$104,'Unit Mix'!$A$5:$A$104,'Assumptions'!$B$4,'Unit Mix'!$I$5:$I$104,"Included"),""))</f>
        <v/>
      </c>
      <c r="D30" s="64">
        <f>IF(OR($A30="",$C30=0),"",IFERROR(SUMPRODUCT(('Unit Mix'!$A$5:$A$104='Assumptions'!$B$4)*('Unit Mix'!$I$5:$I$104="Included")*'Unit Mix'!$D$5:$D$104*('Unit Mix'!$F$5:$F$104+MIN(1,IFERROR(($A30-1)/'Assumptions'!$B$8,0))*('Unit Mix'!$G$5:$G$104-'Unit Mix'!$F$5:$F$104))),""))</f>
        <v/>
      </c>
      <c r="E30" s="47">
        <f>IF(OR($A30="",$C30=0),"",IFERROR($D30/$C30,""))</f>
        <v/>
      </c>
      <c r="F30" s="48">
        <f>IF(OR($A30="",$C30=0),"",IFERROR(SUMPRODUCT(('Unit Mix'!$A$5:$A$104='Assumptions'!$B$4)*('Unit Mix'!$I$5:$I$104="Included")*'Unit Mix'!$D$5:$D$104*'Unit Mix'!$E$5:$E$104)*(1+'Assumptions'!$B$7)^(($A30-1)/12),""))</f>
        <v/>
      </c>
      <c r="G30" s="48">
        <f>IF(OR($A30="",$C30=0),"",IFERROR(SUMPRODUCT(('Unit Mix'!$A$5:$A$104='Assumptions'!$B$4)*('Unit Mix'!$I$5:$I$104="Included")*'Unit Mix'!$D$5:$D$104*'Unit Mix'!$E$5:$E$104*('Unit Mix'!$F$5:$F$104+MIN(1,IFERROR(($A30-1)/'Assumptions'!$B$8,0))*('Unit Mix'!$G$5:$G$104-'Unit Mix'!$F$5:$F$104)))*(1+'Assumptions'!$B$7)^(($A30-1)/12),""))</f>
        <v/>
      </c>
      <c r="H30" s="48">
        <f>IF($G30="","",IFERROR($D30*'Assumptions'!$B$9*(1+'Assumptions'!$B$10)^(($A30-1)/12),""))</f>
        <v/>
      </c>
      <c r="I30" s="48">
        <f>IF($G30="","",IFERROR($G30*'Assumptions'!$B$11,""))</f>
        <v/>
      </c>
      <c r="J30" s="48">
        <f>IF($G30="","",IFERROR(SUM($G30:$I30),""))</f>
        <v/>
      </c>
      <c r="K30" s="48">
        <f>IF($J30="","",IFERROR($J30*'Assumptions'!$B$12,""))</f>
        <v/>
      </c>
      <c r="L30" s="48">
        <f>IF($J30="","",IFERROR('Assumptions'!$B$13*(1+'Assumptions'!$B$14)^(($A30-1)/12),""))</f>
        <v/>
      </c>
      <c r="M30" s="48">
        <f>IF($J30="","",IFERROR('Assumptions'!$B$15,""))</f>
        <v/>
      </c>
      <c r="N30" s="48">
        <f>IF($J30="","",IFERROR($J30-SUM($K30:$M30),""))</f>
        <v/>
      </c>
      <c r="O30" s="48">
        <f>IF($N30="","",IFERROR('Assumptions'!$B$16,""))</f>
        <v/>
      </c>
      <c r="P30" s="48">
        <f>IF($N30="","",IFERROR($N30-$O30,""))</f>
        <v/>
      </c>
      <c r="Q30" s="9">
        <f>IF($A30="","",IF($C30=0,"Review",IF(OR($E30&lt;'Assumptions'!$B$18,$P30&lt;'Assumptions'!$B$17),"Review","OK")))</f>
        <v/>
      </c>
    </row>
    <row r="31">
      <c r="A31" s="31">
        <f>IF(27&lt;='Assumptions'!$B$6,27,"")</f>
        <v/>
      </c>
      <c r="B31" s="61">
        <f>IF($A31="","",IFERROR(EDATE('Assumptions'!$B$5,$A31-1),""))</f>
        <v/>
      </c>
      <c r="C31" s="31">
        <f>IF($A31="","",IFERROR(SUMIFS('Unit Mix'!$D$5:$D$104,'Unit Mix'!$A$5:$A$104,'Assumptions'!$B$4,'Unit Mix'!$I$5:$I$104,"Included"),""))</f>
        <v/>
      </c>
      <c r="D31" s="62">
        <f>IF(OR($A31="",$C31=0),"",IFERROR(SUMPRODUCT(('Unit Mix'!$A$5:$A$104='Assumptions'!$B$4)*('Unit Mix'!$I$5:$I$104="Included")*'Unit Mix'!$D$5:$D$104*('Unit Mix'!$F$5:$F$104+MIN(1,IFERROR(($A31-1)/'Assumptions'!$B$8,0))*('Unit Mix'!$G$5:$G$104-'Unit Mix'!$F$5:$F$104))),""))</f>
        <v/>
      </c>
      <c r="E31" s="49">
        <f>IF(OR($A31="",$C31=0),"",IFERROR($D31/$C31,""))</f>
        <v/>
      </c>
      <c r="F31" s="50">
        <f>IF(OR($A31="",$C31=0),"",IFERROR(SUMPRODUCT(('Unit Mix'!$A$5:$A$104='Assumptions'!$B$4)*('Unit Mix'!$I$5:$I$104="Included")*'Unit Mix'!$D$5:$D$104*'Unit Mix'!$E$5:$E$104)*(1+'Assumptions'!$B$7)^(($A31-1)/12),""))</f>
        <v/>
      </c>
      <c r="G31" s="50">
        <f>IF(OR($A31="",$C31=0),"",IFERROR(SUMPRODUCT(('Unit Mix'!$A$5:$A$104='Assumptions'!$B$4)*('Unit Mix'!$I$5:$I$104="Included")*'Unit Mix'!$D$5:$D$104*'Unit Mix'!$E$5:$E$104*('Unit Mix'!$F$5:$F$104+MIN(1,IFERROR(($A31-1)/'Assumptions'!$B$8,0))*('Unit Mix'!$G$5:$G$104-'Unit Mix'!$F$5:$F$104)))*(1+'Assumptions'!$B$7)^(($A31-1)/12),""))</f>
        <v/>
      </c>
      <c r="H31" s="50">
        <f>IF($G31="","",IFERROR($D31*'Assumptions'!$B$9*(1+'Assumptions'!$B$10)^(($A31-1)/12),""))</f>
        <v/>
      </c>
      <c r="I31" s="50">
        <f>IF($G31="","",IFERROR($G31*'Assumptions'!$B$11,""))</f>
        <v/>
      </c>
      <c r="J31" s="50">
        <f>IF($G31="","",IFERROR(SUM($G31:$I31),""))</f>
        <v/>
      </c>
      <c r="K31" s="50">
        <f>IF($J31="","",IFERROR($J31*'Assumptions'!$B$12,""))</f>
        <v/>
      </c>
      <c r="L31" s="50">
        <f>IF($J31="","",IFERROR('Assumptions'!$B$13*(1+'Assumptions'!$B$14)^(($A31-1)/12),""))</f>
        <v/>
      </c>
      <c r="M31" s="50">
        <f>IF($J31="","",IFERROR('Assumptions'!$B$15,""))</f>
        <v/>
      </c>
      <c r="N31" s="50">
        <f>IF($J31="","",IFERROR($J31-SUM($K31:$M31),""))</f>
        <v/>
      </c>
      <c r="O31" s="50">
        <f>IF($N31="","",IFERROR('Assumptions'!$B$16,""))</f>
        <v/>
      </c>
      <c r="P31" s="50">
        <f>IF($N31="","",IFERROR($N31-$O31,""))</f>
        <v/>
      </c>
      <c r="Q31" s="13">
        <f>IF($A31="","",IF($C31=0,"Review",IF(OR($E31&lt;'Assumptions'!$B$18,$P31&lt;'Assumptions'!$B$17),"Review","OK")))</f>
        <v/>
      </c>
    </row>
    <row r="32">
      <c r="A32" s="34">
        <f>IF(28&lt;='Assumptions'!$B$6,28,"")</f>
        <v/>
      </c>
      <c r="B32" s="63">
        <f>IF($A32="","",IFERROR(EDATE('Assumptions'!$B$5,$A32-1),""))</f>
        <v/>
      </c>
      <c r="C32" s="34">
        <f>IF($A32="","",IFERROR(SUMIFS('Unit Mix'!$D$5:$D$104,'Unit Mix'!$A$5:$A$104,'Assumptions'!$B$4,'Unit Mix'!$I$5:$I$104,"Included"),""))</f>
        <v/>
      </c>
      <c r="D32" s="64">
        <f>IF(OR($A32="",$C32=0),"",IFERROR(SUMPRODUCT(('Unit Mix'!$A$5:$A$104='Assumptions'!$B$4)*('Unit Mix'!$I$5:$I$104="Included")*'Unit Mix'!$D$5:$D$104*('Unit Mix'!$F$5:$F$104+MIN(1,IFERROR(($A32-1)/'Assumptions'!$B$8,0))*('Unit Mix'!$G$5:$G$104-'Unit Mix'!$F$5:$F$104))),""))</f>
        <v/>
      </c>
      <c r="E32" s="47">
        <f>IF(OR($A32="",$C32=0),"",IFERROR($D32/$C32,""))</f>
        <v/>
      </c>
      <c r="F32" s="48">
        <f>IF(OR($A32="",$C32=0),"",IFERROR(SUMPRODUCT(('Unit Mix'!$A$5:$A$104='Assumptions'!$B$4)*('Unit Mix'!$I$5:$I$104="Included")*'Unit Mix'!$D$5:$D$104*'Unit Mix'!$E$5:$E$104)*(1+'Assumptions'!$B$7)^(($A32-1)/12),""))</f>
        <v/>
      </c>
      <c r="G32" s="48">
        <f>IF(OR($A32="",$C32=0),"",IFERROR(SUMPRODUCT(('Unit Mix'!$A$5:$A$104='Assumptions'!$B$4)*('Unit Mix'!$I$5:$I$104="Included")*'Unit Mix'!$D$5:$D$104*'Unit Mix'!$E$5:$E$104*('Unit Mix'!$F$5:$F$104+MIN(1,IFERROR(($A32-1)/'Assumptions'!$B$8,0))*('Unit Mix'!$G$5:$G$104-'Unit Mix'!$F$5:$F$104)))*(1+'Assumptions'!$B$7)^(($A32-1)/12),""))</f>
        <v/>
      </c>
      <c r="H32" s="48">
        <f>IF($G32="","",IFERROR($D32*'Assumptions'!$B$9*(1+'Assumptions'!$B$10)^(($A32-1)/12),""))</f>
        <v/>
      </c>
      <c r="I32" s="48">
        <f>IF($G32="","",IFERROR($G32*'Assumptions'!$B$11,""))</f>
        <v/>
      </c>
      <c r="J32" s="48">
        <f>IF($G32="","",IFERROR(SUM($G32:$I32),""))</f>
        <v/>
      </c>
      <c r="K32" s="48">
        <f>IF($J32="","",IFERROR($J32*'Assumptions'!$B$12,""))</f>
        <v/>
      </c>
      <c r="L32" s="48">
        <f>IF($J32="","",IFERROR('Assumptions'!$B$13*(1+'Assumptions'!$B$14)^(($A32-1)/12),""))</f>
        <v/>
      </c>
      <c r="M32" s="48">
        <f>IF($J32="","",IFERROR('Assumptions'!$B$15,""))</f>
        <v/>
      </c>
      <c r="N32" s="48">
        <f>IF($J32="","",IFERROR($J32-SUM($K32:$M32),""))</f>
        <v/>
      </c>
      <c r="O32" s="48">
        <f>IF($N32="","",IFERROR('Assumptions'!$B$16,""))</f>
        <v/>
      </c>
      <c r="P32" s="48">
        <f>IF($N32="","",IFERROR($N32-$O32,""))</f>
        <v/>
      </c>
      <c r="Q32" s="9">
        <f>IF($A32="","",IF($C32=0,"Review",IF(OR($E32&lt;'Assumptions'!$B$18,$P32&lt;'Assumptions'!$B$17),"Review","OK")))</f>
        <v/>
      </c>
    </row>
    <row r="33">
      <c r="A33" s="31">
        <f>IF(29&lt;='Assumptions'!$B$6,29,"")</f>
        <v/>
      </c>
      <c r="B33" s="61">
        <f>IF($A33="","",IFERROR(EDATE('Assumptions'!$B$5,$A33-1),""))</f>
        <v/>
      </c>
      <c r="C33" s="31">
        <f>IF($A33="","",IFERROR(SUMIFS('Unit Mix'!$D$5:$D$104,'Unit Mix'!$A$5:$A$104,'Assumptions'!$B$4,'Unit Mix'!$I$5:$I$104,"Included"),""))</f>
        <v/>
      </c>
      <c r="D33" s="62">
        <f>IF(OR($A33="",$C33=0),"",IFERROR(SUMPRODUCT(('Unit Mix'!$A$5:$A$104='Assumptions'!$B$4)*('Unit Mix'!$I$5:$I$104="Included")*'Unit Mix'!$D$5:$D$104*('Unit Mix'!$F$5:$F$104+MIN(1,IFERROR(($A33-1)/'Assumptions'!$B$8,0))*('Unit Mix'!$G$5:$G$104-'Unit Mix'!$F$5:$F$104))),""))</f>
        <v/>
      </c>
      <c r="E33" s="49">
        <f>IF(OR($A33="",$C33=0),"",IFERROR($D33/$C33,""))</f>
        <v/>
      </c>
      <c r="F33" s="50">
        <f>IF(OR($A33="",$C33=0),"",IFERROR(SUMPRODUCT(('Unit Mix'!$A$5:$A$104='Assumptions'!$B$4)*('Unit Mix'!$I$5:$I$104="Included")*'Unit Mix'!$D$5:$D$104*'Unit Mix'!$E$5:$E$104)*(1+'Assumptions'!$B$7)^(($A33-1)/12),""))</f>
        <v/>
      </c>
      <c r="G33" s="50">
        <f>IF(OR($A33="",$C33=0),"",IFERROR(SUMPRODUCT(('Unit Mix'!$A$5:$A$104='Assumptions'!$B$4)*('Unit Mix'!$I$5:$I$104="Included")*'Unit Mix'!$D$5:$D$104*'Unit Mix'!$E$5:$E$104*('Unit Mix'!$F$5:$F$104+MIN(1,IFERROR(($A33-1)/'Assumptions'!$B$8,0))*('Unit Mix'!$G$5:$G$104-'Unit Mix'!$F$5:$F$104)))*(1+'Assumptions'!$B$7)^(($A33-1)/12),""))</f>
        <v/>
      </c>
      <c r="H33" s="50">
        <f>IF($G33="","",IFERROR($D33*'Assumptions'!$B$9*(1+'Assumptions'!$B$10)^(($A33-1)/12),""))</f>
        <v/>
      </c>
      <c r="I33" s="50">
        <f>IF($G33="","",IFERROR($G33*'Assumptions'!$B$11,""))</f>
        <v/>
      </c>
      <c r="J33" s="50">
        <f>IF($G33="","",IFERROR(SUM($G33:$I33),""))</f>
        <v/>
      </c>
      <c r="K33" s="50">
        <f>IF($J33="","",IFERROR($J33*'Assumptions'!$B$12,""))</f>
        <v/>
      </c>
      <c r="L33" s="50">
        <f>IF($J33="","",IFERROR('Assumptions'!$B$13*(1+'Assumptions'!$B$14)^(($A33-1)/12),""))</f>
        <v/>
      </c>
      <c r="M33" s="50">
        <f>IF($J33="","",IFERROR('Assumptions'!$B$15,""))</f>
        <v/>
      </c>
      <c r="N33" s="50">
        <f>IF($J33="","",IFERROR($J33-SUM($K33:$M33),""))</f>
        <v/>
      </c>
      <c r="O33" s="50">
        <f>IF($N33="","",IFERROR('Assumptions'!$B$16,""))</f>
        <v/>
      </c>
      <c r="P33" s="50">
        <f>IF($N33="","",IFERROR($N33-$O33,""))</f>
        <v/>
      </c>
      <c r="Q33" s="13">
        <f>IF($A33="","",IF($C33=0,"Review",IF(OR($E33&lt;'Assumptions'!$B$18,$P33&lt;'Assumptions'!$B$17),"Review","OK")))</f>
        <v/>
      </c>
    </row>
    <row r="34">
      <c r="A34" s="34">
        <f>IF(30&lt;='Assumptions'!$B$6,30,"")</f>
        <v/>
      </c>
      <c r="B34" s="63">
        <f>IF($A34="","",IFERROR(EDATE('Assumptions'!$B$5,$A34-1),""))</f>
        <v/>
      </c>
      <c r="C34" s="34">
        <f>IF($A34="","",IFERROR(SUMIFS('Unit Mix'!$D$5:$D$104,'Unit Mix'!$A$5:$A$104,'Assumptions'!$B$4,'Unit Mix'!$I$5:$I$104,"Included"),""))</f>
        <v/>
      </c>
      <c r="D34" s="64">
        <f>IF(OR($A34="",$C34=0),"",IFERROR(SUMPRODUCT(('Unit Mix'!$A$5:$A$104='Assumptions'!$B$4)*('Unit Mix'!$I$5:$I$104="Included")*'Unit Mix'!$D$5:$D$104*('Unit Mix'!$F$5:$F$104+MIN(1,IFERROR(($A34-1)/'Assumptions'!$B$8,0))*('Unit Mix'!$G$5:$G$104-'Unit Mix'!$F$5:$F$104))),""))</f>
        <v/>
      </c>
      <c r="E34" s="47">
        <f>IF(OR($A34="",$C34=0),"",IFERROR($D34/$C34,""))</f>
        <v/>
      </c>
      <c r="F34" s="48">
        <f>IF(OR($A34="",$C34=0),"",IFERROR(SUMPRODUCT(('Unit Mix'!$A$5:$A$104='Assumptions'!$B$4)*('Unit Mix'!$I$5:$I$104="Included")*'Unit Mix'!$D$5:$D$104*'Unit Mix'!$E$5:$E$104)*(1+'Assumptions'!$B$7)^(($A34-1)/12),""))</f>
        <v/>
      </c>
      <c r="G34" s="48">
        <f>IF(OR($A34="",$C34=0),"",IFERROR(SUMPRODUCT(('Unit Mix'!$A$5:$A$104='Assumptions'!$B$4)*('Unit Mix'!$I$5:$I$104="Included")*'Unit Mix'!$D$5:$D$104*'Unit Mix'!$E$5:$E$104*('Unit Mix'!$F$5:$F$104+MIN(1,IFERROR(($A34-1)/'Assumptions'!$B$8,0))*('Unit Mix'!$G$5:$G$104-'Unit Mix'!$F$5:$F$104)))*(1+'Assumptions'!$B$7)^(($A34-1)/12),""))</f>
        <v/>
      </c>
      <c r="H34" s="48">
        <f>IF($G34="","",IFERROR($D34*'Assumptions'!$B$9*(1+'Assumptions'!$B$10)^(($A34-1)/12),""))</f>
        <v/>
      </c>
      <c r="I34" s="48">
        <f>IF($G34="","",IFERROR($G34*'Assumptions'!$B$11,""))</f>
        <v/>
      </c>
      <c r="J34" s="48">
        <f>IF($G34="","",IFERROR(SUM($G34:$I34),""))</f>
        <v/>
      </c>
      <c r="K34" s="48">
        <f>IF($J34="","",IFERROR($J34*'Assumptions'!$B$12,""))</f>
        <v/>
      </c>
      <c r="L34" s="48">
        <f>IF($J34="","",IFERROR('Assumptions'!$B$13*(1+'Assumptions'!$B$14)^(($A34-1)/12),""))</f>
        <v/>
      </c>
      <c r="M34" s="48">
        <f>IF($J34="","",IFERROR('Assumptions'!$B$15,""))</f>
        <v/>
      </c>
      <c r="N34" s="48">
        <f>IF($J34="","",IFERROR($J34-SUM($K34:$M34),""))</f>
        <v/>
      </c>
      <c r="O34" s="48">
        <f>IF($N34="","",IFERROR('Assumptions'!$B$16,""))</f>
        <v/>
      </c>
      <c r="P34" s="48">
        <f>IF($N34="","",IFERROR($N34-$O34,""))</f>
        <v/>
      </c>
      <c r="Q34" s="9">
        <f>IF($A34="","",IF($C34=0,"Review",IF(OR($E34&lt;'Assumptions'!$B$18,$P34&lt;'Assumptions'!$B$17),"Review","OK")))</f>
        <v/>
      </c>
    </row>
    <row r="35">
      <c r="A35" s="31">
        <f>IF(31&lt;='Assumptions'!$B$6,31,"")</f>
        <v/>
      </c>
      <c r="B35" s="61">
        <f>IF($A35="","",IFERROR(EDATE('Assumptions'!$B$5,$A35-1),""))</f>
        <v/>
      </c>
      <c r="C35" s="31">
        <f>IF($A35="","",IFERROR(SUMIFS('Unit Mix'!$D$5:$D$104,'Unit Mix'!$A$5:$A$104,'Assumptions'!$B$4,'Unit Mix'!$I$5:$I$104,"Included"),""))</f>
        <v/>
      </c>
      <c r="D35" s="62">
        <f>IF(OR($A35="",$C35=0),"",IFERROR(SUMPRODUCT(('Unit Mix'!$A$5:$A$104='Assumptions'!$B$4)*('Unit Mix'!$I$5:$I$104="Included")*'Unit Mix'!$D$5:$D$104*('Unit Mix'!$F$5:$F$104+MIN(1,IFERROR(($A35-1)/'Assumptions'!$B$8,0))*('Unit Mix'!$G$5:$G$104-'Unit Mix'!$F$5:$F$104))),""))</f>
        <v/>
      </c>
      <c r="E35" s="49">
        <f>IF(OR($A35="",$C35=0),"",IFERROR($D35/$C35,""))</f>
        <v/>
      </c>
      <c r="F35" s="50">
        <f>IF(OR($A35="",$C35=0),"",IFERROR(SUMPRODUCT(('Unit Mix'!$A$5:$A$104='Assumptions'!$B$4)*('Unit Mix'!$I$5:$I$104="Included")*'Unit Mix'!$D$5:$D$104*'Unit Mix'!$E$5:$E$104)*(1+'Assumptions'!$B$7)^(($A35-1)/12),""))</f>
        <v/>
      </c>
      <c r="G35" s="50">
        <f>IF(OR($A35="",$C35=0),"",IFERROR(SUMPRODUCT(('Unit Mix'!$A$5:$A$104='Assumptions'!$B$4)*('Unit Mix'!$I$5:$I$104="Included")*'Unit Mix'!$D$5:$D$104*'Unit Mix'!$E$5:$E$104*('Unit Mix'!$F$5:$F$104+MIN(1,IFERROR(($A35-1)/'Assumptions'!$B$8,0))*('Unit Mix'!$G$5:$G$104-'Unit Mix'!$F$5:$F$104)))*(1+'Assumptions'!$B$7)^(($A35-1)/12),""))</f>
        <v/>
      </c>
      <c r="H35" s="50">
        <f>IF($G35="","",IFERROR($D35*'Assumptions'!$B$9*(1+'Assumptions'!$B$10)^(($A35-1)/12),""))</f>
        <v/>
      </c>
      <c r="I35" s="50">
        <f>IF($G35="","",IFERROR($G35*'Assumptions'!$B$11,""))</f>
        <v/>
      </c>
      <c r="J35" s="50">
        <f>IF($G35="","",IFERROR(SUM($G35:$I35),""))</f>
        <v/>
      </c>
      <c r="K35" s="50">
        <f>IF($J35="","",IFERROR($J35*'Assumptions'!$B$12,""))</f>
        <v/>
      </c>
      <c r="L35" s="50">
        <f>IF($J35="","",IFERROR('Assumptions'!$B$13*(1+'Assumptions'!$B$14)^(($A35-1)/12),""))</f>
        <v/>
      </c>
      <c r="M35" s="50">
        <f>IF($J35="","",IFERROR('Assumptions'!$B$15,""))</f>
        <v/>
      </c>
      <c r="N35" s="50">
        <f>IF($J35="","",IFERROR($J35-SUM($K35:$M35),""))</f>
        <v/>
      </c>
      <c r="O35" s="50">
        <f>IF($N35="","",IFERROR('Assumptions'!$B$16,""))</f>
        <v/>
      </c>
      <c r="P35" s="50">
        <f>IF($N35="","",IFERROR($N35-$O35,""))</f>
        <v/>
      </c>
      <c r="Q35" s="13">
        <f>IF($A35="","",IF($C35=0,"Review",IF(OR($E35&lt;'Assumptions'!$B$18,$P35&lt;'Assumptions'!$B$17),"Review","OK")))</f>
        <v/>
      </c>
    </row>
    <row r="36">
      <c r="A36" s="34">
        <f>IF(32&lt;='Assumptions'!$B$6,32,"")</f>
        <v/>
      </c>
      <c r="B36" s="63">
        <f>IF($A36="","",IFERROR(EDATE('Assumptions'!$B$5,$A36-1),""))</f>
        <v/>
      </c>
      <c r="C36" s="34">
        <f>IF($A36="","",IFERROR(SUMIFS('Unit Mix'!$D$5:$D$104,'Unit Mix'!$A$5:$A$104,'Assumptions'!$B$4,'Unit Mix'!$I$5:$I$104,"Included"),""))</f>
        <v/>
      </c>
      <c r="D36" s="64">
        <f>IF(OR($A36="",$C36=0),"",IFERROR(SUMPRODUCT(('Unit Mix'!$A$5:$A$104='Assumptions'!$B$4)*('Unit Mix'!$I$5:$I$104="Included")*'Unit Mix'!$D$5:$D$104*('Unit Mix'!$F$5:$F$104+MIN(1,IFERROR(($A36-1)/'Assumptions'!$B$8,0))*('Unit Mix'!$G$5:$G$104-'Unit Mix'!$F$5:$F$104))),""))</f>
        <v/>
      </c>
      <c r="E36" s="47">
        <f>IF(OR($A36="",$C36=0),"",IFERROR($D36/$C36,""))</f>
        <v/>
      </c>
      <c r="F36" s="48">
        <f>IF(OR($A36="",$C36=0),"",IFERROR(SUMPRODUCT(('Unit Mix'!$A$5:$A$104='Assumptions'!$B$4)*('Unit Mix'!$I$5:$I$104="Included")*'Unit Mix'!$D$5:$D$104*'Unit Mix'!$E$5:$E$104)*(1+'Assumptions'!$B$7)^(($A36-1)/12),""))</f>
        <v/>
      </c>
      <c r="G36" s="48">
        <f>IF(OR($A36="",$C36=0),"",IFERROR(SUMPRODUCT(('Unit Mix'!$A$5:$A$104='Assumptions'!$B$4)*('Unit Mix'!$I$5:$I$104="Included")*'Unit Mix'!$D$5:$D$104*'Unit Mix'!$E$5:$E$104*('Unit Mix'!$F$5:$F$104+MIN(1,IFERROR(($A36-1)/'Assumptions'!$B$8,0))*('Unit Mix'!$G$5:$G$104-'Unit Mix'!$F$5:$F$104)))*(1+'Assumptions'!$B$7)^(($A36-1)/12),""))</f>
        <v/>
      </c>
      <c r="H36" s="48">
        <f>IF($G36="","",IFERROR($D36*'Assumptions'!$B$9*(1+'Assumptions'!$B$10)^(($A36-1)/12),""))</f>
        <v/>
      </c>
      <c r="I36" s="48">
        <f>IF($G36="","",IFERROR($G36*'Assumptions'!$B$11,""))</f>
        <v/>
      </c>
      <c r="J36" s="48">
        <f>IF($G36="","",IFERROR(SUM($G36:$I36),""))</f>
        <v/>
      </c>
      <c r="K36" s="48">
        <f>IF($J36="","",IFERROR($J36*'Assumptions'!$B$12,""))</f>
        <v/>
      </c>
      <c r="L36" s="48">
        <f>IF($J36="","",IFERROR('Assumptions'!$B$13*(1+'Assumptions'!$B$14)^(($A36-1)/12),""))</f>
        <v/>
      </c>
      <c r="M36" s="48">
        <f>IF($J36="","",IFERROR('Assumptions'!$B$15,""))</f>
        <v/>
      </c>
      <c r="N36" s="48">
        <f>IF($J36="","",IFERROR($J36-SUM($K36:$M36),""))</f>
        <v/>
      </c>
      <c r="O36" s="48">
        <f>IF($N36="","",IFERROR('Assumptions'!$B$16,""))</f>
        <v/>
      </c>
      <c r="P36" s="48">
        <f>IF($N36="","",IFERROR($N36-$O36,""))</f>
        <v/>
      </c>
      <c r="Q36" s="9">
        <f>IF($A36="","",IF($C36=0,"Review",IF(OR($E36&lt;'Assumptions'!$B$18,$P36&lt;'Assumptions'!$B$17),"Review","OK")))</f>
        <v/>
      </c>
    </row>
    <row r="37">
      <c r="A37" s="31">
        <f>IF(33&lt;='Assumptions'!$B$6,33,"")</f>
        <v/>
      </c>
      <c r="B37" s="61">
        <f>IF($A37="","",IFERROR(EDATE('Assumptions'!$B$5,$A37-1),""))</f>
        <v/>
      </c>
      <c r="C37" s="31">
        <f>IF($A37="","",IFERROR(SUMIFS('Unit Mix'!$D$5:$D$104,'Unit Mix'!$A$5:$A$104,'Assumptions'!$B$4,'Unit Mix'!$I$5:$I$104,"Included"),""))</f>
        <v/>
      </c>
      <c r="D37" s="62">
        <f>IF(OR($A37="",$C37=0),"",IFERROR(SUMPRODUCT(('Unit Mix'!$A$5:$A$104='Assumptions'!$B$4)*('Unit Mix'!$I$5:$I$104="Included")*'Unit Mix'!$D$5:$D$104*('Unit Mix'!$F$5:$F$104+MIN(1,IFERROR(($A37-1)/'Assumptions'!$B$8,0))*('Unit Mix'!$G$5:$G$104-'Unit Mix'!$F$5:$F$104))),""))</f>
        <v/>
      </c>
      <c r="E37" s="49">
        <f>IF(OR($A37="",$C37=0),"",IFERROR($D37/$C37,""))</f>
        <v/>
      </c>
      <c r="F37" s="50">
        <f>IF(OR($A37="",$C37=0),"",IFERROR(SUMPRODUCT(('Unit Mix'!$A$5:$A$104='Assumptions'!$B$4)*('Unit Mix'!$I$5:$I$104="Included")*'Unit Mix'!$D$5:$D$104*'Unit Mix'!$E$5:$E$104)*(1+'Assumptions'!$B$7)^(($A37-1)/12),""))</f>
        <v/>
      </c>
      <c r="G37" s="50">
        <f>IF(OR($A37="",$C37=0),"",IFERROR(SUMPRODUCT(('Unit Mix'!$A$5:$A$104='Assumptions'!$B$4)*('Unit Mix'!$I$5:$I$104="Included")*'Unit Mix'!$D$5:$D$104*'Unit Mix'!$E$5:$E$104*('Unit Mix'!$F$5:$F$104+MIN(1,IFERROR(($A37-1)/'Assumptions'!$B$8,0))*('Unit Mix'!$G$5:$G$104-'Unit Mix'!$F$5:$F$104)))*(1+'Assumptions'!$B$7)^(($A37-1)/12),""))</f>
        <v/>
      </c>
      <c r="H37" s="50">
        <f>IF($G37="","",IFERROR($D37*'Assumptions'!$B$9*(1+'Assumptions'!$B$10)^(($A37-1)/12),""))</f>
        <v/>
      </c>
      <c r="I37" s="50">
        <f>IF($G37="","",IFERROR($G37*'Assumptions'!$B$11,""))</f>
        <v/>
      </c>
      <c r="J37" s="50">
        <f>IF($G37="","",IFERROR(SUM($G37:$I37),""))</f>
        <v/>
      </c>
      <c r="K37" s="50">
        <f>IF($J37="","",IFERROR($J37*'Assumptions'!$B$12,""))</f>
        <v/>
      </c>
      <c r="L37" s="50">
        <f>IF($J37="","",IFERROR('Assumptions'!$B$13*(1+'Assumptions'!$B$14)^(($A37-1)/12),""))</f>
        <v/>
      </c>
      <c r="M37" s="50">
        <f>IF($J37="","",IFERROR('Assumptions'!$B$15,""))</f>
        <v/>
      </c>
      <c r="N37" s="50">
        <f>IF($J37="","",IFERROR($J37-SUM($K37:$M37),""))</f>
        <v/>
      </c>
      <c r="O37" s="50">
        <f>IF($N37="","",IFERROR('Assumptions'!$B$16,""))</f>
        <v/>
      </c>
      <c r="P37" s="50">
        <f>IF($N37="","",IFERROR($N37-$O37,""))</f>
        <v/>
      </c>
      <c r="Q37" s="13">
        <f>IF($A37="","",IF($C37=0,"Review",IF(OR($E37&lt;'Assumptions'!$B$18,$P37&lt;'Assumptions'!$B$17),"Review","OK")))</f>
        <v/>
      </c>
    </row>
    <row r="38">
      <c r="A38" s="34">
        <f>IF(34&lt;='Assumptions'!$B$6,34,"")</f>
        <v/>
      </c>
      <c r="B38" s="63">
        <f>IF($A38="","",IFERROR(EDATE('Assumptions'!$B$5,$A38-1),""))</f>
        <v/>
      </c>
      <c r="C38" s="34">
        <f>IF($A38="","",IFERROR(SUMIFS('Unit Mix'!$D$5:$D$104,'Unit Mix'!$A$5:$A$104,'Assumptions'!$B$4,'Unit Mix'!$I$5:$I$104,"Included"),""))</f>
        <v/>
      </c>
      <c r="D38" s="64">
        <f>IF(OR($A38="",$C38=0),"",IFERROR(SUMPRODUCT(('Unit Mix'!$A$5:$A$104='Assumptions'!$B$4)*('Unit Mix'!$I$5:$I$104="Included")*'Unit Mix'!$D$5:$D$104*('Unit Mix'!$F$5:$F$104+MIN(1,IFERROR(($A38-1)/'Assumptions'!$B$8,0))*('Unit Mix'!$G$5:$G$104-'Unit Mix'!$F$5:$F$104))),""))</f>
        <v/>
      </c>
      <c r="E38" s="47">
        <f>IF(OR($A38="",$C38=0),"",IFERROR($D38/$C38,""))</f>
        <v/>
      </c>
      <c r="F38" s="48">
        <f>IF(OR($A38="",$C38=0),"",IFERROR(SUMPRODUCT(('Unit Mix'!$A$5:$A$104='Assumptions'!$B$4)*('Unit Mix'!$I$5:$I$104="Included")*'Unit Mix'!$D$5:$D$104*'Unit Mix'!$E$5:$E$104)*(1+'Assumptions'!$B$7)^(($A38-1)/12),""))</f>
        <v/>
      </c>
      <c r="G38" s="48">
        <f>IF(OR($A38="",$C38=0),"",IFERROR(SUMPRODUCT(('Unit Mix'!$A$5:$A$104='Assumptions'!$B$4)*('Unit Mix'!$I$5:$I$104="Included")*'Unit Mix'!$D$5:$D$104*'Unit Mix'!$E$5:$E$104*('Unit Mix'!$F$5:$F$104+MIN(1,IFERROR(($A38-1)/'Assumptions'!$B$8,0))*('Unit Mix'!$G$5:$G$104-'Unit Mix'!$F$5:$F$104)))*(1+'Assumptions'!$B$7)^(($A38-1)/12),""))</f>
        <v/>
      </c>
      <c r="H38" s="48">
        <f>IF($G38="","",IFERROR($D38*'Assumptions'!$B$9*(1+'Assumptions'!$B$10)^(($A38-1)/12),""))</f>
        <v/>
      </c>
      <c r="I38" s="48">
        <f>IF($G38="","",IFERROR($G38*'Assumptions'!$B$11,""))</f>
        <v/>
      </c>
      <c r="J38" s="48">
        <f>IF($G38="","",IFERROR(SUM($G38:$I38),""))</f>
        <v/>
      </c>
      <c r="K38" s="48">
        <f>IF($J38="","",IFERROR($J38*'Assumptions'!$B$12,""))</f>
        <v/>
      </c>
      <c r="L38" s="48">
        <f>IF($J38="","",IFERROR('Assumptions'!$B$13*(1+'Assumptions'!$B$14)^(($A38-1)/12),""))</f>
        <v/>
      </c>
      <c r="M38" s="48">
        <f>IF($J38="","",IFERROR('Assumptions'!$B$15,""))</f>
        <v/>
      </c>
      <c r="N38" s="48">
        <f>IF($J38="","",IFERROR($J38-SUM($K38:$M38),""))</f>
        <v/>
      </c>
      <c r="O38" s="48">
        <f>IF($N38="","",IFERROR('Assumptions'!$B$16,""))</f>
        <v/>
      </c>
      <c r="P38" s="48">
        <f>IF($N38="","",IFERROR($N38-$O38,""))</f>
        <v/>
      </c>
      <c r="Q38" s="9">
        <f>IF($A38="","",IF($C38=0,"Review",IF(OR($E38&lt;'Assumptions'!$B$18,$P38&lt;'Assumptions'!$B$17),"Review","OK")))</f>
        <v/>
      </c>
    </row>
    <row r="39">
      <c r="A39" s="31">
        <f>IF(35&lt;='Assumptions'!$B$6,35,"")</f>
        <v/>
      </c>
      <c r="B39" s="61">
        <f>IF($A39="","",IFERROR(EDATE('Assumptions'!$B$5,$A39-1),""))</f>
        <v/>
      </c>
      <c r="C39" s="31">
        <f>IF($A39="","",IFERROR(SUMIFS('Unit Mix'!$D$5:$D$104,'Unit Mix'!$A$5:$A$104,'Assumptions'!$B$4,'Unit Mix'!$I$5:$I$104,"Included"),""))</f>
        <v/>
      </c>
      <c r="D39" s="62">
        <f>IF(OR($A39="",$C39=0),"",IFERROR(SUMPRODUCT(('Unit Mix'!$A$5:$A$104='Assumptions'!$B$4)*('Unit Mix'!$I$5:$I$104="Included")*'Unit Mix'!$D$5:$D$104*('Unit Mix'!$F$5:$F$104+MIN(1,IFERROR(($A39-1)/'Assumptions'!$B$8,0))*('Unit Mix'!$G$5:$G$104-'Unit Mix'!$F$5:$F$104))),""))</f>
        <v/>
      </c>
      <c r="E39" s="49">
        <f>IF(OR($A39="",$C39=0),"",IFERROR($D39/$C39,""))</f>
        <v/>
      </c>
      <c r="F39" s="50">
        <f>IF(OR($A39="",$C39=0),"",IFERROR(SUMPRODUCT(('Unit Mix'!$A$5:$A$104='Assumptions'!$B$4)*('Unit Mix'!$I$5:$I$104="Included")*'Unit Mix'!$D$5:$D$104*'Unit Mix'!$E$5:$E$104)*(1+'Assumptions'!$B$7)^(($A39-1)/12),""))</f>
        <v/>
      </c>
      <c r="G39" s="50">
        <f>IF(OR($A39="",$C39=0),"",IFERROR(SUMPRODUCT(('Unit Mix'!$A$5:$A$104='Assumptions'!$B$4)*('Unit Mix'!$I$5:$I$104="Included")*'Unit Mix'!$D$5:$D$104*'Unit Mix'!$E$5:$E$104*('Unit Mix'!$F$5:$F$104+MIN(1,IFERROR(($A39-1)/'Assumptions'!$B$8,0))*('Unit Mix'!$G$5:$G$104-'Unit Mix'!$F$5:$F$104)))*(1+'Assumptions'!$B$7)^(($A39-1)/12),""))</f>
        <v/>
      </c>
      <c r="H39" s="50">
        <f>IF($G39="","",IFERROR($D39*'Assumptions'!$B$9*(1+'Assumptions'!$B$10)^(($A39-1)/12),""))</f>
        <v/>
      </c>
      <c r="I39" s="50">
        <f>IF($G39="","",IFERROR($G39*'Assumptions'!$B$11,""))</f>
        <v/>
      </c>
      <c r="J39" s="50">
        <f>IF($G39="","",IFERROR(SUM($G39:$I39),""))</f>
        <v/>
      </c>
      <c r="K39" s="50">
        <f>IF($J39="","",IFERROR($J39*'Assumptions'!$B$12,""))</f>
        <v/>
      </c>
      <c r="L39" s="50">
        <f>IF($J39="","",IFERROR('Assumptions'!$B$13*(1+'Assumptions'!$B$14)^(($A39-1)/12),""))</f>
        <v/>
      </c>
      <c r="M39" s="50">
        <f>IF($J39="","",IFERROR('Assumptions'!$B$15,""))</f>
        <v/>
      </c>
      <c r="N39" s="50">
        <f>IF($J39="","",IFERROR($J39-SUM($K39:$M39),""))</f>
        <v/>
      </c>
      <c r="O39" s="50">
        <f>IF($N39="","",IFERROR('Assumptions'!$B$16,""))</f>
        <v/>
      </c>
      <c r="P39" s="50">
        <f>IF($N39="","",IFERROR($N39-$O39,""))</f>
        <v/>
      </c>
      <c r="Q39" s="13">
        <f>IF($A39="","",IF($C39=0,"Review",IF(OR($E39&lt;'Assumptions'!$B$18,$P39&lt;'Assumptions'!$B$17),"Review","OK")))</f>
        <v/>
      </c>
    </row>
    <row r="40">
      <c r="A40" s="34">
        <f>IF(36&lt;='Assumptions'!$B$6,36,"")</f>
        <v/>
      </c>
      <c r="B40" s="63">
        <f>IF($A40="","",IFERROR(EDATE('Assumptions'!$B$5,$A40-1),""))</f>
        <v/>
      </c>
      <c r="C40" s="34">
        <f>IF($A40="","",IFERROR(SUMIFS('Unit Mix'!$D$5:$D$104,'Unit Mix'!$A$5:$A$104,'Assumptions'!$B$4,'Unit Mix'!$I$5:$I$104,"Included"),""))</f>
        <v/>
      </c>
      <c r="D40" s="64">
        <f>IF(OR($A40="",$C40=0),"",IFERROR(SUMPRODUCT(('Unit Mix'!$A$5:$A$104='Assumptions'!$B$4)*('Unit Mix'!$I$5:$I$104="Included")*'Unit Mix'!$D$5:$D$104*('Unit Mix'!$F$5:$F$104+MIN(1,IFERROR(($A40-1)/'Assumptions'!$B$8,0))*('Unit Mix'!$G$5:$G$104-'Unit Mix'!$F$5:$F$104))),""))</f>
        <v/>
      </c>
      <c r="E40" s="47">
        <f>IF(OR($A40="",$C40=0),"",IFERROR($D40/$C40,""))</f>
        <v/>
      </c>
      <c r="F40" s="48">
        <f>IF(OR($A40="",$C40=0),"",IFERROR(SUMPRODUCT(('Unit Mix'!$A$5:$A$104='Assumptions'!$B$4)*('Unit Mix'!$I$5:$I$104="Included")*'Unit Mix'!$D$5:$D$104*'Unit Mix'!$E$5:$E$104)*(1+'Assumptions'!$B$7)^(($A40-1)/12),""))</f>
        <v/>
      </c>
      <c r="G40" s="48">
        <f>IF(OR($A40="",$C40=0),"",IFERROR(SUMPRODUCT(('Unit Mix'!$A$5:$A$104='Assumptions'!$B$4)*('Unit Mix'!$I$5:$I$104="Included")*'Unit Mix'!$D$5:$D$104*'Unit Mix'!$E$5:$E$104*('Unit Mix'!$F$5:$F$104+MIN(1,IFERROR(($A40-1)/'Assumptions'!$B$8,0))*('Unit Mix'!$G$5:$G$104-'Unit Mix'!$F$5:$F$104)))*(1+'Assumptions'!$B$7)^(($A40-1)/12),""))</f>
        <v/>
      </c>
      <c r="H40" s="48">
        <f>IF($G40="","",IFERROR($D40*'Assumptions'!$B$9*(1+'Assumptions'!$B$10)^(($A40-1)/12),""))</f>
        <v/>
      </c>
      <c r="I40" s="48">
        <f>IF($G40="","",IFERROR($G40*'Assumptions'!$B$11,""))</f>
        <v/>
      </c>
      <c r="J40" s="48">
        <f>IF($G40="","",IFERROR(SUM($G40:$I40),""))</f>
        <v/>
      </c>
      <c r="K40" s="48">
        <f>IF($J40="","",IFERROR($J40*'Assumptions'!$B$12,""))</f>
        <v/>
      </c>
      <c r="L40" s="48">
        <f>IF($J40="","",IFERROR('Assumptions'!$B$13*(1+'Assumptions'!$B$14)^(($A40-1)/12),""))</f>
        <v/>
      </c>
      <c r="M40" s="48">
        <f>IF($J40="","",IFERROR('Assumptions'!$B$15,""))</f>
        <v/>
      </c>
      <c r="N40" s="48">
        <f>IF($J40="","",IFERROR($J40-SUM($K40:$M40),""))</f>
        <v/>
      </c>
      <c r="O40" s="48">
        <f>IF($N40="","",IFERROR('Assumptions'!$B$16,""))</f>
        <v/>
      </c>
      <c r="P40" s="48">
        <f>IF($N40="","",IFERROR($N40-$O40,""))</f>
        <v/>
      </c>
      <c r="Q40" s="9">
        <f>IF($A40="","",IF($C40=0,"Review",IF(OR($E40&lt;'Assumptions'!$B$18,$P40&lt;'Assumptions'!$B$17),"Review","OK")))</f>
        <v/>
      </c>
    </row>
    <row r="41">
      <c r="A41" s="31">
        <f>IF(37&lt;='Assumptions'!$B$6,37,"")</f>
        <v/>
      </c>
      <c r="B41" s="61">
        <f>IF($A41="","",IFERROR(EDATE('Assumptions'!$B$5,$A41-1),""))</f>
        <v/>
      </c>
      <c r="C41" s="31">
        <f>IF($A41="","",IFERROR(SUMIFS('Unit Mix'!$D$5:$D$104,'Unit Mix'!$A$5:$A$104,'Assumptions'!$B$4,'Unit Mix'!$I$5:$I$104,"Included"),""))</f>
        <v/>
      </c>
      <c r="D41" s="62">
        <f>IF(OR($A41="",$C41=0),"",IFERROR(SUMPRODUCT(('Unit Mix'!$A$5:$A$104='Assumptions'!$B$4)*('Unit Mix'!$I$5:$I$104="Included")*'Unit Mix'!$D$5:$D$104*('Unit Mix'!$F$5:$F$104+MIN(1,IFERROR(($A41-1)/'Assumptions'!$B$8,0))*('Unit Mix'!$G$5:$G$104-'Unit Mix'!$F$5:$F$104))),""))</f>
        <v/>
      </c>
      <c r="E41" s="49">
        <f>IF(OR($A41="",$C41=0),"",IFERROR($D41/$C41,""))</f>
        <v/>
      </c>
      <c r="F41" s="50">
        <f>IF(OR($A41="",$C41=0),"",IFERROR(SUMPRODUCT(('Unit Mix'!$A$5:$A$104='Assumptions'!$B$4)*('Unit Mix'!$I$5:$I$104="Included")*'Unit Mix'!$D$5:$D$104*'Unit Mix'!$E$5:$E$104)*(1+'Assumptions'!$B$7)^(($A41-1)/12),""))</f>
        <v/>
      </c>
      <c r="G41" s="50">
        <f>IF(OR($A41="",$C41=0),"",IFERROR(SUMPRODUCT(('Unit Mix'!$A$5:$A$104='Assumptions'!$B$4)*('Unit Mix'!$I$5:$I$104="Included")*'Unit Mix'!$D$5:$D$104*'Unit Mix'!$E$5:$E$104*('Unit Mix'!$F$5:$F$104+MIN(1,IFERROR(($A41-1)/'Assumptions'!$B$8,0))*('Unit Mix'!$G$5:$G$104-'Unit Mix'!$F$5:$F$104)))*(1+'Assumptions'!$B$7)^(($A41-1)/12),""))</f>
        <v/>
      </c>
      <c r="H41" s="50">
        <f>IF($G41="","",IFERROR($D41*'Assumptions'!$B$9*(1+'Assumptions'!$B$10)^(($A41-1)/12),""))</f>
        <v/>
      </c>
      <c r="I41" s="50">
        <f>IF($G41="","",IFERROR($G41*'Assumptions'!$B$11,""))</f>
        <v/>
      </c>
      <c r="J41" s="50">
        <f>IF($G41="","",IFERROR(SUM($G41:$I41),""))</f>
        <v/>
      </c>
      <c r="K41" s="50">
        <f>IF($J41="","",IFERROR($J41*'Assumptions'!$B$12,""))</f>
        <v/>
      </c>
      <c r="L41" s="50">
        <f>IF($J41="","",IFERROR('Assumptions'!$B$13*(1+'Assumptions'!$B$14)^(($A41-1)/12),""))</f>
        <v/>
      </c>
      <c r="M41" s="50">
        <f>IF($J41="","",IFERROR('Assumptions'!$B$15,""))</f>
        <v/>
      </c>
      <c r="N41" s="50">
        <f>IF($J41="","",IFERROR($J41-SUM($K41:$M41),""))</f>
        <v/>
      </c>
      <c r="O41" s="50">
        <f>IF($N41="","",IFERROR('Assumptions'!$B$16,""))</f>
        <v/>
      </c>
      <c r="P41" s="50">
        <f>IF($N41="","",IFERROR($N41-$O41,""))</f>
        <v/>
      </c>
      <c r="Q41" s="13">
        <f>IF($A41="","",IF($C41=0,"Review",IF(OR($E41&lt;'Assumptions'!$B$18,$P41&lt;'Assumptions'!$B$17),"Review","OK")))</f>
        <v/>
      </c>
    </row>
    <row r="42">
      <c r="A42" s="34">
        <f>IF(38&lt;='Assumptions'!$B$6,38,"")</f>
        <v/>
      </c>
      <c r="B42" s="63">
        <f>IF($A42="","",IFERROR(EDATE('Assumptions'!$B$5,$A42-1),""))</f>
        <v/>
      </c>
      <c r="C42" s="34">
        <f>IF($A42="","",IFERROR(SUMIFS('Unit Mix'!$D$5:$D$104,'Unit Mix'!$A$5:$A$104,'Assumptions'!$B$4,'Unit Mix'!$I$5:$I$104,"Included"),""))</f>
        <v/>
      </c>
      <c r="D42" s="64">
        <f>IF(OR($A42="",$C42=0),"",IFERROR(SUMPRODUCT(('Unit Mix'!$A$5:$A$104='Assumptions'!$B$4)*('Unit Mix'!$I$5:$I$104="Included")*'Unit Mix'!$D$5:$D$104*('Unit Mix'!$F$5:$F$104+MIN(1,IFERROR(($A42-1)/'Assumptions'!$B$8,0))*('Unit Mix'!$G$5:$G$104-'Unit Mix'!$F$5:$F$104))),""))</f>
        <v/>
      </c>
      <c r="E42" s="47">
        <f>IF(OR($A42="",$C42=0),"",IFERROR($D42/$C42,""))</f>
        <v/>
      </c>
      <c r="F42" s="48">
        <f>IF(OR($A42="",$C42=0),"",IFERROR(SUMPRODUCT(('Unit Mix'!$A$5:$A$104='Assumptions'!$B$4)*('Unit Mix'!$I$5:$I$104="Included")*'Unit Mix'!$D$5:$D$104*'Unit Mix'!$E$5:$E$104)*(1+'Assumptions'!$B$7)^(($A42-1)/12),""))</f>
        <v/>
      </c>
      <c r="G42" s="48">
        <f>IF(OR($A42="",$C42=0),"",IFERROR(SUMPRODUCT(('Unit Mix'!$A$5:$A$104='Assumptions'!$B$4)*('Unit Mix'!$I$5:$I$104="Included")*'Unit Mix'!$D$5:$D$104*'Unit Mix'!$E$5:$E$104*('Unit Mix'!$F$5:$F$104+MIN(1,IFERROR(($A42-1)/'Assumptions'!$B$8,0))*('Unit Mix'!$G$5:$G$104-'Unit Mix'!$F$5:$F$104)))*(1+'Assumptions'!$B$7)^(($A42-1)/12),""))</f>
        <v/>
      </c>
      <c r="H42" s="48">
        <f>IF($G42="","",IFERROR($D42*'Assumptions'!$B$9*(1+'Assumptions'!$B$10)^(($A42-1)/12),""))</f>
        <v/>
      </c>
      <c r="I42" s="48">
        <f>IF($G42="","",IFERROR($G42*'Assumptions'!$B$11,""))</f>
        <v/>
      </c>
      <c r="J42" s="48">
        <f>IF($G42="","",IFERROR(SUM($G42:$I42),""))</f>
        <v/>
      </c>
      <c r="K42" s="48">
        <f>IF($J42="","",IFERROR($J42*'Assumptions'!$B$12,""))</f>
        <v/>
      </c>
      <c r="L42" s="48">
        <f>IF($J42="","",IFERROR('Assumptions'!$B$13*(1+'Assumptions'!$B$14)^(($A42-1)/12),""))</f>
        <v/>
      </c>
      <c r="M42" s="48">
        <f>IF($J42="","",IFERROR('Assumptions'!$B$15,""))</f>
        <v/>
      </c>
      <c r="N42" s="48">
        <f>IF($J42="","",IFERROR($J42-SUM($K42:$M42),""))</f>
        <v/>
      </c>
      <c r="O42" s="48">
        <f>IF($N42="","",IFERROR('Assumptions'!$B$16,""))</f>
        <v/>
      </c>
      <c r="P42" s="48">
        <f>IF($N42="","",IFERROR($N42-$O42,""))</f>
        <v/>
      </c>
      <c r="Q42" s="9">
        <f>IF($A42="","",IF($C42=0,"Review",IF(OR($E42&lt;'Assumptions'!$B$18,$P42&lt;'Assumptions'!$B$17),"Review","OK")))</f>
        <v/>
      </c>
    </row>
    <row r="43">
      <c r="A43" s="31">
        <f>IF(39&lt;='Assumptions'!$B$6,39,"")</f>
        <v/>
      </c>
      <c r="B43" s="61">
        <f>IF($A43="","",IFERROR(EDATE('Assumptions'!$B$5,$A43-1),""))</f>
        <v/>
      </c>
      <c r="C43" s="31">
        <f>IF($A43="","",IFERROR(SUMIFS('Unit Mix'!$D$5:$D$104,'Unit Mix'!$A$5:$A$104,'Assumptions'!$B$4,'Unit Mix'!$I$5:$I$104,"Included"),""))</f>
        <v/>
      </c>
      <c r="D43" s="62">
        <f>IF(OR($A43="",$C43=0),"",IFERROR(SUMPRODUCT(('Unit Mix'!$A$5:$A$104='Assumptions'!$B$4)*('Unit Mix'!$I$5:$I$104="Included")*'Unit Mix'!$D$5:$D$104*('Unit Mix'!$F$5:$F$104+MIN(1,IFERROR(($A43-1)/'Assumptions'!$B$8,0))*('Unit Mix'!$G$5:$G$104-'Unit Mix'!$F$5:$F$104))),""))</f>
        <v/>
      </c>
      <c r="E43" s="49">
        <f>IF(OR($A43="",$C43=0),"",IFERROR($D43/$C43,""))</f>
        <v/>
      </c>
      <c r="F43" s="50">
        <f>IF(OR($A43="",$C43=0),"",IFERROR(SUMPRODUCT(('Unit Mix'!$A$5:$A$104='Assumptions'!$B$4)*('Unit Mix'!$I$5:$I$104="Included")*'Unit Mix'!$D$5:$D$104*'Unit Mix'!$E$5:$E$104)*(1+'Assumptions'!$B$7)^(($A43-1)/12),""))</f>
        <v/>
      </c>
      <c r="G43" s="50">
        <f>IF(OR($A43="",$C43=0),"",IFERROR(SUMPRODUCT(('Unit Mix'!$A$5:$A$104='Assumptions'!$B$4)*('Unit Mix'!$I$5:$I$104="Included")*'Unit Mix'!$D$5:$D$104*'Unit Mix'!$E$5:$E$104*('Unit Mix'!$F$5:$F$104+MIN(1,IFERROR(($A43-1)/'Assumptions'!$B$8,0))*('Unit Mix'!$G$5:$G$104-'Unit Mix'!$F$5:$F$104)))*(1+'Assumptions'!$B$7)^(($A43-1)/12),""))</f>
        <v/>
      </c>
      <c r="H43" s="50">
        <f>IF($G43="","",IFERROR($D43*'Assumptions'!$B$9*(1+'Assumptions'!$B$10)^(($A43-1)/12),""))</f>
        <v/>
      </c>
      <c r="I43" s="50">
        <f>IF($G43="","",IFERROR($G43*'Assumptions'!$B$11,""))</f>
        <v/>
      </c>
      <c r="J43" s="50">
        <f>IF($G43="","",IFERROR(SUM($G43:$I43),""))</f>
        <v/>
      </c>
      <c r="K43" s="50">
        <f>IF($J43="","",IFERROR($J43*'Assumptions'!$B$12,""))</f>
        <v/>
      </c>
      <c r="L43" s="50">
        <f>IF($J43="","",IFERROR('Assumptions'!$B$13*(1+'Assumptions'!$B$14)^(($A43-1)/12),""))</f>
        <v/>
      </c>
      <c r="M43" s="50">
        <f>IF($J43="","",IFERROR('Assumptions'!$B$15,""))</f>
        <v/>
      </c>
      <c r="N43" s="50">
        <f>IF($J43="","",IFERROR($J43-SUM($K43:$M43),""))</f>
        <v/>
      </c>
      <c r="O43" s="50">
        <f>IF($N43="","",IFERROR('Assumptions'!$B$16,""))</f>
        <v/>
      </c>
      <c r="P43" s="50">
        <f>IF($N43="","",IFERROR($N43-$O43,""))</f>
        <v/>
      </c>
      <c r="Q43" s="13">
        <f>IF($A43="","",IF($C43=0,"Review",IF(OR($E43&lt;'Assumptions'!$B$18,$P43&lt;'Assumptions'!$B$17),"Review","OK")))</f>
        <v/>
      </c>
    </row>
    <row r="44">
      <c r="A44" s="34">
        <f>IF(40&lt;='Assumptions'!$B$6,40,"")</f>
        <v/>
      </c>
      <c r="B44" s="63">
        <f>IF($A44="","",IFERROR(EDATE('Assumptions'!$B$5,$A44-1),""))</f>
        <v/>
      </c>
      <c r="C44" s="34">
        <f>IF($A44="","",IFERROR(SUMIFS('Unit Mix'!$D$5:$D$104,'Unit Mix'!$A$5:$A$104,'Assumptions'!$B$4,'Unit Mix'!$I$5:$I$104,"Included"),""))</f>
        <v/>
      </c>
      <c r="D44" s="64">
        <f>IF(OR($A44="",$C44=0),"",IFERROR(SUMPRODUCT(('Unit Mix'!$A$5:$A$104='Assumptions'!$B$4)*('Unit Mix'!$I$5:$I$104="Included")*'Unit Mix'!$D$5:$D$104*('Unit Mix'!$F$5:$F$104+MIN(1,IFERROR(($A44-1)/'Assumptions'!$B$8,0))*('Unit Mix'!$G$5:$G$104-'Unit Mix'!$F$5:$F$104))),""))</f>
        <v/>
      </c>
      <c r="E44" s="47">
        <f>IF(OR($A44="",$C44=0),"",IFERROR($D44/$C44,""))</f>
        <v/>
      </c>
      <c r="F44" s="48">
        <f>IF(OR($A44="",$C44=0),"",IFERROR(SUMPRODUCT(('Unit Mix'!$A$5:$A$104='Assumptions'!$B$4)*('Unit Mix'!$I$5:$I$104="Included")*'Unit Mix'!$D$5:$D$104*'Unit Mix'!$E$5:$E$104)*(1+'Assumptions'!$B$7)^(($A44-1)/12),""))</f>
        <v/>
      </c>
      <c r="G44" s="48">
        <f>IF(OR($A44="",$C44=0),"",IFERROR(SUMPRODUCT(('Unit Mix'!$A$5:$A$104='Assumptions'!$B$4)*('Unit Mix'!$I$5:$I$104="Included")*'Unit Mix'!$D$5:$D$104*'Unit Mix'!$E$5:$E$104*('Unit Mix'!$F$5:$F$104+MIN(1,IFERROR(($A44-1)/'Assumptions'!$B$8,0))*('Unit Mix'!$G$5:$G$104-'Unit Mix'!$F$5:$F$104)))*(1+'Assumptions'!$B$7)^(($A44-1)/12),""))</f>
        <v/>
      </c>
      <c r="H44" s="48">
        <f>IF($G44="","",IFERROR($D44*'Assumptions'!$B$9*(1+'Assumptions'!$B$10)^(($A44-1)/12),""))</f>
        <v/>
      </c>
      <c r="I44" s="48">
        <f>IF($G44="","",IFERROR($G44*'Assumptions'!$B$11,""))</f>
        <v/>
      </c>
      <c r="J44" s="48">
        <f>IF($G44="","",IFERROR(SUM($G44:$I44),""))</f>
        <v/>
      </c>
      <c r="K44" s="48">
        <f>IF($J44="","",IFERROR($J44*'Assumptions'!$B$12,""))</f>
        <v/>
      </c>
      <c r="L44" s="48">
        <f>IF($J44="","",IFERROR('Assumptions'!$B$13*(1+'Assumptions'!$B$14)^(($A44-1)/12),""))</f>
        <v/>
      </c>
      <c r="M44" s="48">
        <f>IF($J44="","",IFERROR('Assumptions'!$B$15,""))</f>
        <v/>
      </c>
      <c r="N44" s="48">
        <f>IF($J44="","",IFERROR($J44-SUM($K44:$M44),""))</f>
        <v/>
      </c>
      <c r="O44" s="48">
        <f>IF($N44="","",IFERROR('Assumptions'!$B$16,""))</f>
        <v/>
      </c>
      <c r="P44" s="48">
        <f>IF($N44="","",IFERROR($N44-$O44,""))</f>
        <v/>
      </c>
      <c r="Q44" s="9">
        <f>IF($A44="","",IF($C44=0,"Review",IF(OR($E44&lt;'Assumptions'!$B$18,$P44&lt;'Assumptions'!$B$17),"Review","OK")))</f>
        <v/>
      </c>
    </row>
    <row r="45">
      <c r="A45" s="31">
        <f>IF(41&lt;='Assumptions'!$B$6,41,"")</f>
        <v/>
      </c>
      <c r="B45" s="61">
        <f>IF($A45="","",IFERROR(EDATE('Assumptions'!$B$5,$A45-1),""))</f>
        <v/>
      </c>
      <c r="C45" s="31">
        <f>IF($A45="","",IFERROR(SUMIFS('Unit Mix'!$D$5:$D$104,'Unit Mix'!$A$5:$A$104,'Assumptions'!$B$4,'Unit Mix'!$I$5:$I$104,"Included"),""))</f>
        <v/>
      </c>
      <c r="D45" s="62">
        <f>IF(OR($A45="",$C45=0),"",IFERROR(SUMPRODUCT(('Unit Mix'!$A$5:$A$104='Assumptions'!$B$4)*('Unit Mix'!$I$5:$I$104="Included")*'Unit Mix'!$D$5:$D$104*('Unit Mix'!$F$5:$F$104+MIN(1,IFERROR(($A45-1)/'Assumptions'!$B$8,0))*('Unit Mix'!$G$5:$G$104-'Unit Mix'!$F$5:$F$104))),""))</f>
        <v/>
      </c>
      <c r="E45" s="49">
        <f>IF(OR($A45="",$C45=0),"",IFERROR($D45/$C45,""))</f>
        <v/>
      </c>
      <c r="F45" s="50">
        <f>IF(OR($A45="",$C45=0),"",IFERROR(SUMPRODUCT(('Unit Mix'!$A$5:$A$104='Assumptions'!$B$4)*('Unit Mix'!$I$5:$I$104="Included")*'Unit Mix'!$D$5:$D$104*'Unit Mix'!$E$5:$E$104)*(1+'Assumptions'!$B$7)^(($A45-1)/12),""))</f>
        <v/>
      </c>
      <c r="G45" s="50">
        <f>IF(OR($A45="",$C45=0),"",IFERROR(SUMPRODUCT(('Unit Mix'!$A$5:$A$104='Assumptions'!$B$4)*('Unit Mix'!$I$5:$I$104="Included")*'Unit Mix'!$D$5:$D$104*'Unit Mix'!$E$5:$E$104*('Unit Mix'!$F$5:$F$104+MIN(1,IFERROR(($A45-1)/'Assumptions'!$B$8,0))*('Unit Mix'!$G$5:$G$104-'Unit Mix'!$F$5:$F$104)))*(1+'Assumptions'!$B$7)^(($A45-1)/12),""))</f>
        <v/>
      </c>
      <c r="H45" s="50">
        <f>IF($G45="","",IFERROR($D45*'Assumptions'!$B$9*(1+'Assumptions'!$B$10)^(($A45-1)/12),""))</f>
        <v/>
      </c>
      <c r="I45" s="50">
        <f>IF($G45="","",IFERROR($G45*'Assumptions'!$B$11,""))</f>
        <v/>
      </c>
      <c r="J45" s="50">
        <f>IF($G45="","",IFERROR(SUM($G45:$I45),""))</f>
        <v/>
      </c>
      <c r="K45" s="50">
        <f>IF($J45="","",IFERROR($J45*'Assumptions'!$B$12,""))</f>
        <v/>
      </c>
      <c r="L45" s="50">
        <f>IF($J45="","",IFERROR('Assumptions'!$B$13*(1+'Assumptions'!$B$14)^(($A45-1)/12),""))</f>
        <v/>
      </c>
      <c r="M45" s="50">
        <f>IF($J45="","",IFERROR('Assumptions'!$B$15,""))</f>
        <v/>
      </c>
      <c r="N45" s="50">
        <f>IF($J45="","",IFERROR($J45-SUM($K45:$M45),""))</f>
        <v/>
      </c>
      <c r="O45" s="50">
        <f>IF($N45="","",IFERROR('Assumptions'!$B$16,""))</f>
        <v/>
      </c>
      <c r="P45" s="50">
        <f>IF($N45="","",IFERROR($N45-$O45,""))</f>
        <v/>
      </c>
      <c r="Q45" s="13">
        <f>IF($A45="","",IF($C45=0,"Review",IF(OR($E45&lt;'Assumptions'!$B$18,$P45&lt;'Assumptions'!$B$17),"Review","OK")))</f>
        <v/>
      </c>
    </row>
    <row r="46">
      <c r="A46" s="34">
        <f>IF(42&lt;='Assumptions'!$B$6,42,"")</f>
        <v/>
      </c>
      <c r="B46" s="63">
        <f>IF($A46="","",IFERROR(EDATE('Assumptions'!$B$5,$A46-1),""))</f>
        <v/>
      </c>
      <c r="C46" s="34">
        <f>IF($A46="","",IFERROR(SUMIFS('Unit Mix'!$D$5:$D$104,'Unit Mix'!$A$5:$A$104,'Assumptions'!$B$4,'Unit Mix'!$I$5:$I$104,"Included"),""))</f>
        <v/>
      </c>
      <c r="D46" s="64">
        <f>IF(OR($A46="",$C46=0),"",IFERROR(SUMPRODUCT(('Unit Mix'!$A$5:$A$104='Assumptions'!$B$4)*('Unit Mix'!$I$5:$I$104="Included")*'Unit Mix'!$D$5:$D$104*('Unit Mix'!$F$5:$F$104+MIN(1,IFERROR(($A46-1)/'Assumptions'!$B$8,0))*('Unit Mix'!$G$5:$G$104-'Unit Mix'!$F$5:$F$104))),""))</f>
        <v/>
      </c>
      <c r="E46" s="47">
        <f>IF(OR($A46="",$C46=0),"",IFERROR($D46/$C46,""))</f>
        <v/>
      </c>
      <c r="F46" s="48">
        <f>IF(OR($A46="",$C46=0),"",IFERROR(SUMPRODUCT(('Unit Mix'!$A$5:$A$104='Assumptions'!$B$4)*('Unit Mix'!$I$5:$I$104="Included")*'Unit Mix'!$D$5:$D$104*'Unit Mix'!$E$5:$E$104)*(1+'Assumptions'!$B$7)^(($A46-1)/12),""))</f>
        <v/>
      </c>
      <c r="G46" s="48">
        <f>IF(OR($A46="",$C46=0),"",IFERROR(SUMPRODUCT(('Unit Mix'!$A$5:$A$104='Assumptions'!$B$4)*('Unit Mix'!$I$5:$I$104="Included")*'Unit Mix'!$D$5:$D$104*'Unit Mix'!$E$5:$E$104*('Unit Mix'!$F$5:$F$104+MIN(1,IFERROR(($A46-1)/'Assumptions'!$B$8,0))*('Unit Mix'!$G$5:$G$104-'Unit Mix'!$F$5:$F$104)))*(1+'Assumptions'!$B$7)^(($A46-1)/12),""))</f>
        <v/>
      </c>
      <c r="H46" s="48">
        <f>IF($G46="","",IFERROR($D46*'Assumptions'!$B$9*(1+'Assumptions'!$B$10)^(($A46-1)/12),""))</f>
        <v/>
      </c>
      <c r="I46" s="48">
        <f>IF($G46="","",IFERROR($G46*'Assumptions'!$B$11,""))</f>
        <v/>
      </c>
      <c r="J46" s="48">
        <f>IF($G46="","",IFERROR(SUM($G46:$I46),""))</f>
        <v/>
      </c>
      <c r="K46" s="48">
        <f>IF($J46="","",IFERROR($J46*'Assumptions'!$B$12,""))</f>
        <v/>
      </c>
      <c r="L46" s="48">
        <f>IF($J46="","",IFERROR('Assumptions'!$B$13*(1+'Assumptions'!$B$14)^(($A46-1)/12),""))</f>
        <v/>
      </c>
      <c r="M46" s="48">
        <f>IF($J46="","",IFERROR('Assumptions'!$B$15,""))</f>
        <v/>
      </c>
      <c r="N46" s="48">
        <f>IF($J46="","",IFERROR($J46-SUM($K46:$M46),""))</f>
        <v/>
      </c>
      <c r="O46" s="48">
        <f>IF($N46="","",IFERROR('Assumptions'!$B$16,""))</f>
        <v/>
      </c>
      <c r="P46" s="48">
        <f>IF($N46="","",IFERROR($N46-$O46,""))</f>
        <v/>
      </c>
      <c r="Q46" s="9">
        <f>IF($A46="","",IF($C46=0,"Review",IF(OR($E46&lt;'Assumptions'!$B$18,$P46&lt;'Assumptions'!$B$17),"Review","OK")))</f>
        <v/>
      </c>
    </row>
    <row r="47">
      <c r="A47" s="31">
        <f>IF(43&lt;='Assumptions'!$B$6,43,"")</f>
        <v/>
      </c>
      <c r="B47" s="61">
        <f>IF($A47="","",IFERROR(EDATE('Assumptions'!$B$5,$A47-1),""))</f>
        <v/>
      </c>
      <c r="C47" s="31">
        <f>IF($A47="","",IFERROR(SUMIFS('Unit Mix'!$D$5:$D$104,'Unit Mix'!$A$5:$A$104,'Assumptions'!$B$4,'Unit Mix'!$I$5:$I$104,"Included"),""))</f>
        <v/>
      </c>
      <c r="D47" s="62">
        <f>IF(OR($A47="",$C47=0),"",IFERROR(SUMPRODUCT(('Unit Mix'!$A$5:$A$104='Assumptions'!$B$4)*('Unit Mix'!$I$5:$I$104="Included")*'Unit Mix'!$D$5:$D$104*('Unit Mix'!$F$5:$F$104+MIN(1,IFERROR(($A47-1)/'Assumptions'!$B$8,0))*('Unit Mix'!$G$5:$G$104-'Unit Mix'!$F$5:$F$104))),""))</f>
        <v/>
      </c>
      <c r="E47" s="49">
        <f>IF(OR($A47="",$C47=0),"",IFERROR($D47/$C47,""))</f>
        <v/>
      </c>
      <c r="F47" s="50">
        <f>IF(OR($A47="",$C47=0),"",IFERROR(SUMPRODUCT(('Unit Mix'!$A$5:$A$104='Assumptions'!$B$4)*('Unit Mix'!$I$5:$I$104="Included")*'Unit Mix'!$D$5:$D$104*'Unit Mix'!$E$5:$E$104)*(1+'Assumptions'!$B$7)^(($A47-1)/12),""))</f>
        <v/>
      </c>
      <c r="G47" s="50">
        <f>IF(OR($A47="",$C47=0),"",IFERROR(SUMPRODUCT(('Unit Mix'!$A$5:$A$104='Assumptions'!$B$4)*('Unit Mix'!$I$5:$I$104="Included")*'Unit Mix'!$D$5:$D$104*'Unit Mix'!$E$5:$E$104*('Unit Mix'!$F$5:$F$104+MIN(1,IFERROR(($A47-1)/'Assumptions'!$B$8,0))*('Unit Mix'!$G$5:$G$104-'Unit Mix'!$F$5:$F$104)))*(1+'Assumptions'!$B$7)^(($A47-1)/12),""))</f>
        <v/>
      </c>
      <c r="H47" s="50">
        <f>IF($G47="","",IFERROR($D47*'Assumptions'!$B$9*(1+'Assumptions'!$B$10)^(($A47-1)/12),""))</f>
        <v/>
      </c>
      <c r="I47" s="50">
        <f>IF($G47="","",IFERROR($G47*'Assumptions'!$B$11,""))</f>
        <v/>
      </c>
      <c r="J47" s="50">
        <f>IF($G47="","",IFERROR(SUM($G47:$I47),""))</f>
        <v/>
      </c>
      <c r="K47" s="50">
        <f>IF($J47="","",IFERROR($J47*'Assumptions'!$B$12,""))</f>
        <v/>
      </c>
      <c r="L47" s="50">
        <f>IF($J47="","",IFERROR('Assumptions'!$B$13*(1+'Assumptions'!$B$14)^(($A47-1)/12),""))</f>
        <v/>
      </c>
      <c r="M47" s="50">
        <f>IF($J47="","",IFERROR('Assumptions'!$B$15,""))</f>
        <v/>
      </c>
      <c r="N47" s="50">
        <f>IF($J47="","",IFERROR($J47-SUM($K47:$M47),""))</f>
        <v/>
      </c>
      <c r="O47" s="50">
        <f>IF($N47="","",IFERROR('Assumptions'!$B$16,""))</f>
        <v/>
      </c>
      <c r="P47" s="50">
        <f>IF($N47="","",IFERROR($N47-$O47,""))</f>
        <v/>
      </c>
      <c r="Q47" s="13">
        <f>IF($A47="","",IF($C47=0,"Review",IF(OR($E47&lt;'Assumptions'!$B$18,$P47&lt;'Assumptions'!$B$17),"Review","OK")))</f>
        <v/>
      </c>
    </row>
    <row r="48">
      <c r="A48" s="34">
        <f>IF(44&lt;='Assumptions'!$B$6,44,"")</f>
        <v/>
      </c>
      <c r="B48" s="63">
        <f>IF($A48="","",IFERROR(EDATE('Assumptions'!$B$5,$A48-1),""))</f>
        <v/>
      </c>
      <c r="C48" s="34">
        <f>IF($A48="","",IFERROR(SUMIFS('Unit Mix'!$D$5:$D$104,'Unit Mix'!$A$5:$A$104,'Assumptions'!$B$4,'Unit Mix'!$I$5:$I$104,"Included"),""))</f>
        <v/>
      </c>
      <c r="D48" s="64">
        <f>IF(OR($A48="",$C48=0),"",IFERROR(SUMPRODUCT(('Unit Mix'!$A$5:$A$104='Assumptions'!$B$4)*('Unit Mix'!$I$5:$I$104="Included")*'Unit Mix'!$D$5:$D$104*('Unit Mix'!$F$5:$F$104+MIN(1,IFERROR(($A48-1)/'Assumptions'!$B$8,0))*('Unit Mix'!$G$5:$G$104-'Unit Mix'!$F$5:$F$104))),""))</f>
        <v/>
      </c>
      <c r="E48" s="47">
        <f>IF(OR($A48="",$C48=0),"",IFERROR($D48/$C48,""))</f>
        <v/>
      </c>
      <c r="F48" s="48">
        <f>IF(OR($A48="",$C48=0),"",IFERROR(SUMPRODUCT(('Unit Mix'!$A$5:$A$104='Assumptions'!$B$4)*('Unit Mix'!$I$5:$I$104="Included")*'Unit Mix'!$D$5:$D$104*'Unit Mix'!$E$5:$E$104)*(1+'Assumptions'!$B$7)^(($A48-1)/12),""))</f>
        <v/>
      </c>
      <c r="G48" s="48">
        <f>IF(OR($A48="",$C48=0),"",IFERROR(SUMPRODUCT(('Unit Mix'!$A$5:$A$104='Assumptions'!$B$4)*('Unit Mix'!$I$5:$I$104="Included")*'Unit Mix'!$D$5:$D$104*'Unit Mix'!$E$5:$E$104*('Unit Mix'!$F$5:$F$104+MIN(1,IFERROR(($A48-1)/'Assumptions'!$B$8,0))*('Unit Mix'!$G$5:$G$104-'Unit Mix'!$F$5:$F$104)))*(1+'Assumptions'!$B$7)^(($A48-1)/12),""))</f>
        <v/>
      </c>
      <c r="H48" s="48">
        <f>IF($G48="","",IFERROR($D48*'Assumptions'!$B$9*(1+'Assumptions'!$B$10)^(($A48-1)/12),""))</f>
        <v/>
      </c>
      <c r="I48" s="48">
        <f>IF($G48="","",IFERROR($G48*'Assumptions'!$B$11,""))</f>
        <v/>
      </c>
      <c r="J48" s="48">
        <f>IF($G48="","",IFERROR(SUM($G48:$I48),""))</f>
        <v/>
      </c>
      <c r="K48" s="48">
        <f>IF($J48="","",IFERROR($J48*'Assumptions'!$B$12,""))</f>
        <v/>
      </c>
      <c r="L48" s="48">
        <f>IF($J48="","",IFERROR('Assumptions'!$B$13*(1+'Assumptions'!$B$14)^(($A48-1)/12),""))</f>
        <v/>
      </c>
      <c r="M48" s="48">
        <f>IF($J48="","",IFERROR('Assumptions'!$B$15,""))</f>
        <v/>
      </c>
      <c r="N48" s="48">
        <f>IF($J48="","",IFERROR($J48-SUM($K48:$M48),""))</f>
        <v/>
      </c>
      <c r="O48" s="48">
        <f>IF($N48="","",IFERROR('Assumptions'!$B$16,""))</f>
        <v/>
      </c>
      <c r="P48" s="48">
        <f>IF($N48="","",IFERROR($N48-$O48,""))</f>
        <v/>
      </c>
      <c r="Q48" s="9">
        <f>IF($A48="","",IF($C48=0,"Review",IF(OR($E48&lt;'Assumptions'!$B$18,$P48&lt;'Assumptions'!$B$17),"Review","OK")))</f>
        <v/>
      </c>
    </row>
    <row r="49">
      <c r="A49" s="31">
        <f>IF(45&lt;='Assumptions'!$B$6,45,"")</f>
        <v/>
      </c>
      <c r="B49" s="61">
        <f>IF($A49="","",IFERROR(EDATE('Assumptions'!$B$5,$A49-1),""))</f>
        <v/>
      </c>
      <c r="C49" s="31">
        <f>IF($A49="","",IFERROR(SUMIFS('Unit Mix'!$D$5:$D$104,'Unit Mix'!$A$5:$A$104,'Assumptions'!$B$4,'Unit Mix'!$I$5:$I$104,"Included"),""))</f>
        <v/>
      </c>
      <c r="D49" s="62">
        <f>IF(OR($A49="",$C49=0),"",IFERROR(SUMPRODUCT(('Unit Mix'!$A$5:$A$104='Assumptions'!$B$4)*('Unit Mix'!$I$5:$I$104="Included")*'Unit Mix'!$D$5:$D$104*('Unit Mix'!$F$5:$F$104+MIN(1,IFERROR(($A49-1)/'Assumptions'!$B$8,0))*('Unit Mix'!$G$5:$G$104-'Unit Mix'!$F$5:$F$104))),""))</f>
        <v/>
      </c>
      <c r="E49" s="49">
        <f>IF(OR($A49="",$C49=0),"",IFERROR($D49/$C49,""))</f>
        <v/>
      </c>
      <c r="F49" s="50">
        <f>IF(OR($A49="",$C49=0),"",IFERROR(SUMPRODUCT(('Unit Mix'!$A$5:$A$104='Assumptions'!$B$4)*('Unit Mix'!$I$5:$I$104="Included")*'Unit Mix'!$D$5:$D$104*'Unit Mix'!$E$5:$E$104)*(1+'Assumptions'!$B$7)^(($A49-1)/12),""))</f>
        <v/>
      </c>
      <c r="G49" s="50">
        <f>IF(OR($A49="",$C49=0),"",IFERROR(SUMPRODUCT(('Unit Mix'!$A$5:$A$104='Assumptions'!$B$4)*('Unit Mix'!$I$5:$I$104="Included")*'Unit Mix'!$D$5:$D$104*'Unit Mix'!$E$5:$E$104*('Unit Mix'!$F$5:$F$104+MIN(1,IFERROR(($A49-1)/'Assumptions'!$B$8,0))*('Unit Mix'!$G$5:$G$104-'Unit Mix'!$F$5:$F$104)))*(1+'Assumptions'!$B$7)^(($A49-1)/12),""))</f>
        <v/>
      </c>
      <c r="H49" s="50">
        <f>IF($G49="","",IFERROR($D49*'Assumptions'!$B$9*(1+'Assumptions'!$B$10)^(($A49-1)/12),""))</f>
        <v/>
      </c>
      <c r="I49" s="50">
        <f>IF($G49="","",IFERROR($G49*'Assumptions'!$B$11,""))</f>
        <v/>
      </c>
      <c r="J49" s="50">
        <f>IF($G49="","",IFERROR(SUM($G49:$I49),""))</f>
        <v/>
      </c>
      <c r="K49" s="50">
        <f>IF($J49="","",IFERROR($J49*'Assumptions'!$B$12,""))</f>
        <v/>
      </c>
      <c r="L49" s="50">
        <f>IF($J49="","",IFERROR('Assumptions'!$B$13*(1+'Assumptions'!$B$14)^(($A49-1)/12),""))</f>
        <v/>
      </c>
      <c r="M49" s="50">
        <f>IF($J49="","",IFERROR('Assumptions'!$B$15,""))</f>
        <v/>
      </c>
      <c r="N49" s="50">
        <f>IF($J49="","",IFERROR($J49-SUM($K49:$M49),""))</f>
        <v/>
      </c>
      <c r="O49" s="50">
        <f>IF($N49="","",IFERROR('Assumptions'!$B$16,""))</f>
        <v/>
      </c>
      <c r="P49" s="50">
        <f>IF($N49="","",IFERROR($N49-$O49,""))</f>
        <v/>
      </c>
      <c r="Q49" s="13">
        <f>IF($A49="","",IF($C49=0,"Review",IF(OR($E49&lt;'Assumptions'!$B$18,$P49&lt;'Assumptions'!$B$17),"Review","OK")))</f>
        <v/>
      </c>
    </row>
    <row r="50">
      <c r="A50" s="34">
        <f>IF(46&lt;='Assumptions'!$B$6,46,"")</f>
        <v/>
      </c>
      <c r="B50" s="63">
        <f>IF($A50="","",IFERROR(EDATE('Assumptions'!$B$5,$A50-1),""))</f>
        <v/>
      </c>
      <c r="C50" s="34">
        <f>IF($A50="","",IFERROR(SUMIFS('Unit Mix'!$D$5:$D$104,'Unit Mix'!$A$5:$A$104,'Assumptions'!$B$4,'Unit Mix'!$I$5:$I$104,"Included"),""))</f>
        <v/>
      </c>
      <c r="D50" s="64">
        <f>IF(OR($A50="",$C50=0),"",IFERROR(SUMPRODUCT(('Unit Mix'!$A$5:$A$104='Assumptions'!$B$4)*('Unit Mix'!$I$5:$I$104="Included")*'Unit Mix'!$D$5:$D$104*('Unit Mix'!$F$5:$F$104+MIN(1,IFERROR(($A50-1)/'Assumptions'!$B$8,0))*('Unit Mix'!$G$5:$G$104-'Unit Mix'!$F$5:$F$104))),""))</f>
        <v/>
      </c>
      <c r="E50" s="47">
        <f>IF(OR($A50="",$C50=0),"",IFERROR($D50/$C50,""))</f>
        <v/>
      </c>
      <c r="F50" s="48">
        <f>IF(OR($A50="",$C50=0),"",IFERROR(SUMPRODUCT(('Unit Mix'!$A$5:$A$104='Assumptions'!$B$4)*('Unit Mix'!$I$5:$I$104="Included")*'Unit Mix'!$D$5:$D$104*'Unit Mix'!$E$5:$E$104)*(1+'Assumptions'!$B$7)^(($A50-1)/12),""))</f>
        <v/>
      </c>
      <c r="G50" s="48">
        <f>IF(OR($A50="",$C50=0),"",IFERROR(SUMPRODUCT(('Unit Mix'!$A$5:$A$104='Assumptions'!$B$4)*('Unit Mix'!$I$5:$I$104="Included")*'Unit Mix'!$D$5:$D$104*'Unit Mix'!$E$5:$E$104*('Unit Mix'!$F$5:$F$104+MIN(1,IFERROR(($A50-1)/'Assumptions'!$B$8,0))*('Unit Mix'!$G$5:$G$104-'Unit Mix'!$F$5:$F$104)))*(1+'Assumptions'!$B$7)^(($A50-1)/12),""))</f>
        <v/>
      </c>
      <c r="H50" s="48">
        <f>IF($G50="","",IFERROR($D50*'Assumptions'!$B$9*(1+'Assumptions'!$B$10)^(($A50-1)/12),""))</f>
        <v/>
      </c>
      <c r="I50" s="48">
        <f>IF($G50="","",IFERROR($G50*'Assumptions'!$B$11,""))</f>
        <v/>
      </c>
      <c r="J50" s="48">
        <f>IF($G50="","",IFERROR(SUM($G50:$I50),""))</f>
        <v/>
      </c>
      <c r="K50" s="48">
        <f>IF($J50="","",IFERROR($J50*'Assumptions'!$B$12,""))</f>
        <v/>
      </c>
      <c r="L50" s="48">
        <f>IF($J50="","",IFERROR('Assumptions'!$B$13*(1+'Assumptions'!$B$14)^(($A50-1)/12),""))</f>
        <v/>
      </c>
      <c r="M50" s="48">
        <f>IF($J50="","",IFERROR('Assumptions'!$B$15,""))</f>
        <v/>
      </c>
      <c r="N50" s="48">
        <f>IF($J50="","",IFERROR($J50-SUM($K50:$M50),""))</f>
        <v/>
      </c>
      <c r="O50" s="48">
        <f>IF($N50="","",IFERROR('Assumptions'!$B$16,""))</f>
        <v/>
      </c>
      <c r="P50" s="48">
        <f>IF($N50="","",IFERROR($N50-$O50,""))</f>
        <v/>
      </c>
      <c r="Q50" s="9">
        <f>IF($A50="","",IF($C50=0,"Review",IF(OR($E50&lt;'Assumptions'!$B$18,$P50&lt;'Assumptions'!$B$17),"Review","OK")))</f>
        <v/>
      </c>
    </row>
    <row r="51">
      <c r="A51" s="31">
        <f>IF(47&lt;='Assumptions'!$B$6,47,"")</f>
        <v/>
      </c>
      <c r="B51" s="61">
        <f>IF($A51="","",IFERROR(EDATE('Assumptions'!$B$5,$A51-1),""))</f>
        <v/>
      </c>
      <c r="C51" s="31">
        <f>IF($A51="","",IFERROR(SUMIFS('Unit Mix'!$D$5:$D$104,'Unit Mix'!$A$5:$A$104,'Assumptions'!$B$4,'Unit Mix'!$I$5:$I$104,"Included"),""))</f>
        <v/>
      </c>
      <c r="D51" s="62">
        <f>IF(OR($A51="",$C51=0),"",IFERROR(SUMPRODUCT(('Unit Mix'!$A$5:$A$104='Assumptions'!$B$4)*('Unit Mix'!$I$5:$I$104="Included")*'Unit Mix'!$D$5:$D$104*('Unit Mix'!$F$5:$F$104+MIN(1,IFERROR(($A51-1)/'Assumptions'!$B$8,0))*('Unit Mix'!$G$5:$G$104-'Unit Mix'!$F$5:$F$104))),""))</f>
        <v/>
      </c>
      <c r="E51" s="49">
        <f>IF(OR($A51="",$C51=0),"",IFERROR($D51/$C51,""))</f>
        <v/>
      </c>
      <c r="F51" s="50">
        <f>IF(OR($A51="",$C51=0),"",IFERROR(SUMPRODUCT(('Unit Mix'!$A$5:$A$104='Assumptions'!$B$4)*('Unit Mix'!$I$5:$I$104="Included")*'Unit Mix'!$D$5:$D$104*'Unit Mix'!$E$5:$E$104)*(1+'Assumptions'!$B$7)^(($A51-1)/12),""))</f>
        <v/>
      </c>
      <c r="G51" s="50">
        <f>IF(OR($A51="",$C51=0),"",IFERROR(SUMPRODUCT(('Unit Mix'!$A$5:$A$104='Assumptions'!$B$4)*('Unit Mix'!$I$5:$I$104="Included")*'Unit Mix'!$D$5:$D$104*'Unit Mix'!$E$5:$E$104*('Unit Mix'!$F$5:$F$104+MIN(1,IFERROR(($A51-1)/'Assumptions'!$B$8,0))*('Unit Mix'!$G$5:$G$104-'Unit Mix'!$F$5:$F$104)))*(1+'Assumptions'!$B$7)^(($A51-1)/12),""))</f>
        <v/>
      </c>
      <c r="H51" s="50">
        <f>IF($G51="","",IFERROR($D51*'Assumptions'!$B$9*(1+'Assumptions'!$B$10)^(($A51-1)/12),""))</f>
        <v/>
      </c>
      <c r="I51" s="50">
        <f>IF($G51="","",IFERROR($G51*'Assumptions'!$B$11,""))</f>
        <v/>
      </c>
      <c r="J51" s="50">
        <f>IF($G51="","",IFERROR(SUM($G51:$I51),""))</f>
        <v/>
      </c>
      <c r="K51" s="50">
        <f>IF($J51="","",IFERROR($J51*'Assumptions'!$B$12,""))</f>
        <v/>
      </c>
      <c r="L51" s="50">
        <f>IF($J51="","",IFERROR('Assumptions'!$B$13*(1+'Assumptions'!$B$14)^(($A51-1)/12),""))</f>
        <v/>
      </c>
      <c r="M51" s="50">
        <f>IF($J51="","",IFERROR('Assumptions'!$B$15,""))</f>
        <v/>
      </c>
      <c r="N51" s="50">
        <f>IF($J51="","",IFERROR($J51-SUM($K51:$M51),""))</f>
        <v/>
      </c>
      <c r="O51" s="50">
        <f>IF($N51="","",IFERROR('Assumptions'!$B$16,""))</f>
        <v/>
      </c>
      <c r="P51" s="50">
        <f>IF($N51="","",IFERROR($N51-$O51,""))</f>
        <v/>
      </c>
      <c r="Q51" s="13">
        <f>IF($A51="","",IF($C51=0,"Review",IF(OR($E51&lt;'Assumptions'!$B$18,$P51&lt;'Assumptions'!$B$17),"Review","OK")))</f>
        <v/>
      </c>
    </row>
    <row r="52">
      <c r="A52" s="34">
        <f>IF(48&lt;='Assumptions'!$B$6,48,"")</f>
        <v/>
      </c>
      <c r="B52" s="63">
        <f>IF($A52="","",IFERROR(EDATE('Assumptions'!$B$5,$A52-1),""))</f>
        <v/>
      </c>
      <c r="C52" s="34">
        <f>IF($A52="","",IFERROR(SUMIFS('Unit Mix'!$D$5:$D$104,'Unit Mix'!$A$5:$A$104,'Assumptions'!$B$4,'Unit Mix'!$I$5:$I$104,"Included"),""))</f>
        <v/>
      </c>
      <c r="D52" s="64">
        <f>IF(OR($A52="",$C52=0),"",IFERROR(SUMPRODUCT(('Unit Mix'!$A$5:$A$104='Assumptions'!$B$4)*('Unit Mix'!$I$5:$I$104="Included")*'Unit Mix'!$D$5:$D$104*('Unit Mix'!$F$5:$F$104+MIN(1,IFERROR(($A52-1)/'Assumptions'!$B$8,0))*('Unit Mix'!$G$5:$G$104-'Unit Mix'!$F$5:$F$104))),""))</f>
        <v/>
      </c>
      <c r="E52" s="47">
        <f>IF(OR($A52="",$C52=0),"",IFERROR($D52/$C52,""))</f>
        <v/>
      </c>
      <c r="F52" s="48">
        <f>IF(OR($A52="",$C52=0),"",IFERROR(SUMPRODUCT(('Unit Mix'!$A$5:$A$104='Assumptions'!$B$4)*('Unit Mix'!$I$5:$I$104="Included")*'Unit Mix'!$D$5:$D$104*'Unit Mix'!$E$5:$E$104)*(1+'Assumptions'!$B$7)^(($A52-1)/12),""))</f>
        <v/>
      </c>
      <c r="G52" s="48">
        <f>IF(OR($A52="",$C52=0),"",IFERROR(SUMPRODUCT(('Unit Mix'!$A$5:$A$104='Assumptions'!$B$4)*('Unit Mix'!$I$5:$I$104="Included")*'Unit Mix'!$D$5:$D$104*'Unit Mix'!$E$5:$E$104*('Unit Mix'!$F$5:$F$104+MIN(1,IFERROR(($A52-1)/'Assumptions'!$B$8,0))*('Unit Mix'!$G$5:$G$104-'Unit Mix'!$F$5:$F$104)))*(1+'Assumptions'!$B$7)^(($A52-1)/12),""))</f>
        <v/>
      </c>
      <c r="H52" s="48">
        <f>IF($G52="","",IFERROR($D52*'Assumptions'!$B$9*(1+'Assumptions'!$B$10)^(($A52-1)/12),""))</f>
        <v/>
      </c>
      <c r="I52" s="48">
        <f>IF($G52="","",IFERROR($G52*'Assumptions'!$B$11,""))</f>
        <v/>
      </c>
      <c r="J52" s="48">
        <f>IF($G52="","",IFERROR(SUM($G52:$I52),""))</f>
        <v/>
      </c>
      <c r="K52" s="48">
        <f>IF($J52="","",IFERROR($J52*'Assumptions'!$B$12,""))</f>
        <v/>
      </c>
      <c r="L52" s="48">
        <f>IF($J52="","",IFERROR('Assumptions'!$B$13*(1+'Assumptions'!$B$14)^(($A52-1)/12),""))</f>
        <v/>
      </c>
      <c r="M52" s="48">
        <f>IF($J52="","",IFERROR('Assumptions'!$B$15,""))</f>
        <v/>
      </c>
      <c r="N52" s="48">
        <f>IF($J52="","",IFERROR($J52-SUM($K52:$M52),""))</f>
        <v/>
      </c>
      <c r="O52" s="48">
        <f>IF($N52="","",IFERROR('Assumptions'!$B$16,""))</f>
        <v/>
      </c>
      <c r="P52" s="48">
        <f>IF($N52="","",IFERROR($N52-$O52,""))</f>
        <v/>
      </c>
      <c r="Q52" s="9">
        <f>IF($A52="","",IF($C52=0,"Review",IF(OR($E52&lt;'Assumptions'!$B$18,$P52&lt;'Assumptions'!$B$17),"Review","OK")))</f>
        <v/>
      </c>
    </row>
    <row r="53">
      <c r="A53" s="31">
        <f>IF(49&lt;='Assumptions'!$B$6,49,"")</f>
        <v/>
      </c>
      <c r="B53" s="61">
        <f>IF($A53="","",IFERROR(EDATE('Assumptions'!$B$5,$A53-1),""))</f>
        <v/>
      </c>
      <c r="C53" s="31">
        <f>IF($A53="","",IFERROR(SUMIFS('Unit Mix'!$D$5:$D$104,'Unit Mix'!$A$5:$A$104,'Assumptions'!$B$4,'Unit Mix'!$I$5:$I$104,"Included"),""))</f>
        <v/>
      </c>
      <c r="D53" s="62">
        <f>IF(OR($A53="",$C53=0),"",IFERROR(SUMPRODUCT(('Unit Mix'!$A$5:$A$104='Assumptions'!$B$4)*('Unit Mix'!$I$5:$I$104="Included")*'Unit Mix'!$D$5:$D$104*('Unit Mix'!$F$5:$F$104+MIN(1,IFERROR(($A53-1)/'Assumptions'!$B$8,0))*('Unit Mix'!$G$5:$G$104-'Unit Mix'!$F$5:$F$104))),""))</f>
        <v/>
      </c>
      <c r="E53" s="49">
        <f>IF(OR($A53="",$C53=0),"",IFERROR($D53/$C53,""))</f>
        <v/>
      </c>
      <c r="F53" s="50">
        <f>IF(OR($A53="",$C53=0),"",IFERROR(SUMPRODUCT(('Unit Mix'!$A$5:$A$104='Assumptions'!$B$4)*('Unit Mix'!$I$5:$I$104="Included")*'Unit Mix'!$D$5:$D$104*'Unit Mix'!$E$5:$E$104)*(1+'Assumptions'!$B$7)^(($A53-1)/12),""))</f>
        <v/>
      </c>
      <c r="G53" s="50">
        <f>IF(OR($A53="",$C53=0),"",IFERROR(SUMPRODUCT(('Unit Mix'!$A$5:$A$104='Assumptions'!$B$4)*('Unit Mix'!$I$5:$I$104="Included")*'Unit Mix'!$D$5:$D$104*'Unit Mix'!$E$5:$E$104*('Unit Mix'!$F$5:$F$104+MIN(1,IFERROR(($A53-1)/'Assumptions'!$B$8,0))*('Unit Mix'!$G$5:$G$104-'Unit Mix'!$F$5:$F$104)))*(1+'Assumptions'!$B$7)^(($A53-1)/12),""))</f>
        <v/>
      </c>
      <c r="H53" s="50">
        <f>IF($G53="","",IFERROR($D53*'Assumptions'!$B$9*(1+'Assumptions'!$B$10)^(($A53-1)/12),""))</f>
        <v/>
      </c>
      <c r="I53" s="50">
        <f>IF($G53="","",IFERROR($G53*'Assumptions'!$B$11,""))</f>
        <v/>
      </c>
      <c r="J53" s="50">
        <f>IF($G53="","",IFERROR(SUM($G53:$I53),""))</f>
        <v/>
      </c>
      <c r="K53" s="50">
        <f>IF($J53="","",IFERROR($J53*'Assumptions'!$B$12,""))</f>
        <v/>
      </c>
      <c r="L53" s="50">
        <f>IF($J53="","",IFERROR('Assumptions'!$B$13*(1+'Assumptions'!$B$14)^(($A53-1)/12),""))</f>
        <v/>
      </c>
      <c r="M53" s="50">
        <f>IF($J53="","",IFERROR('Assumptions'!$B$15,""))</f>
        <v/>
      </c>
      <c r="N53" s="50">
        <f>IF($J53="","",IFERROR($J53-SUM($K53:$M53),""))</f>
        <v/>
      </c>
      <c r="O53" s="50">
        <f>IF($N53="","",IFERROR('Assumptions'!$B$16,""))</f>
        <v/>
      </c>
      <c r="P53" s="50">
        <f>IF($N53="","",IFERROR($N53-$O53,""))</f>
        <v/>
      </c>
      <c r="Q53" s="13">
        <f>IF($A53="","",IF($C53=0,"Review",IF(OR($E53&lt;'Assumptions'!$B$18,$P53&lt;'Assumptions'!$B$17),"Review","OK")))</f>
        <v/>
      </c>
    </row>
    <row r="54">
      <c r="A54" s="34">
        <f>IF(50&lt;='Assumptions'!$B$6,50,"")</f>
        <v/>
      </c>
      <c r="B54" s="63">
        <f>IF($A54="","",IFERROR(EDATE('Assumptions'!$B$5,$A54-1),""))</f>
        <v/>
      </c>
      <c r="C54" s="34">
        <f>IF($A54="","",IFERROR(SUMIFS('Unit Mix'!$D$5:$D$104,'Unit Mix'!$A$5:$A$104,'Assumptions'!$B$4,'Unit Mix'!$I$5:$I$104,"Included"),""))</f>
        <v/>
      </c>
      <c r="D54" s="64">
        <f>IF(OR($A54="",$C54=0),"",IFERROR(SUMPRODUCT(('Unit Mix'!$A$5:$A$104='Assumptions'!$B$4)*('Unit Mix'!$I$5:$I$104="Included")*'Unit Mix'!$D$5:$D$104*('Unit Mix'!$F$5:$F$104+MIN(1,IFERROR(($A54-1)/'Assumptions'!$B$8,0))*('Unit Mix'!$G$5:$G$104-'Unit Mix'!$F$5:$F$104))),""))</f>
        <v/>
      </c>
      <c r="E54" s="47">
        <f>IF(OR($A54="",$C54=0),"",IFERROR($D54/$C54,""))</f>
        <v/>
      </c>
      <c r="F54" s="48">
        <f>IF(OR($A54="",$C54=0),"",IFERROR(SUMPRODUCT(('Unit Mix'!$A$5:$A$104='Assumptions'!$B$4)*('Unit Mix'!$I$5:$I$104="Included")*'Unit Mix'!$D$5:$D$104*'Unit Mix'!$E$5:$E$104)*(1+'Assumptions'!$B$7)^(($A54-1)/12),""))</f>
        <v/>
      </c>
      <c r="G54" s="48">
        <f>IF(OR($A54="",$C54=0),"",IFERROR(SUMPRODUCT(('Unit Mix'!$A$5:$A$104='Assumptions'!$B$4)*('Unit Mix'!$I$5:$I$104="Included")*'Unit Mix'!$D$5:$D$104*'Unit Mix'!$E$5:$E$104*('Unit Mix'!$F$5:$F$104+MIN(1,IFERROR(($A54-1)/'Assumptions'!$B$8,0))*('Unit Mix'!$G$5:$G$104-'Unit Mix'!$F$5:$F$104)))*(1+'Assumptions'!$B$7)^(($A54-1)/12),""))</f>
        <v/>
      </c>
      <c r="H54" s="48">
        <f>IF($G54="","",IFERROR($D54*'Assumptions'!$B$9*(1+'Assumptions'!$B$10)^(($A54-1)/12),""))</f>
        <v/>
      </c>
      <c r="I54" s="48">
        <f>IF($G54="","",IFERROR($G54*'Assumptions'!$B$11,""))</f>
        <v/>
      </c>
      <c r="J54" s="48">
        <f>IF($G54="","",IFERROR(SUM($G54:$I54),""))</f>
        <v/>
      </c>
      <c r="K54" s="48">
        <f>IF($J54="","",IFERROR($J54*'Assumptions'!$B$12,""))</f>
        <v/>
      </c>
      <c r="L54" s="48">
        <f>IF($J54="","",IFERROR('Assumptions'!$B$13*(1+'Assumptions'!$B$14)^(($A54-1)/12),""))</f>
        <v/>
      </c>
      <c r="M54" s="48">
        <f>IF($J54="","",IFERROR('Assumptions'!$B$15,""))</f>
        <v/>
      </c>
      <c r="N54" s="48">
        <f>IF($J54="","",IFERROR($J54-SUM($K54:$M54),""))</f>
        <v/>
      </c>
      <c r="O54" s="48">
        <f>IF($N54="","",IFERROR('Assumptions'!$B$16,""))</f>
        <v/>
      </c>
      <c r="P54" s="48">
        <f>IF($N54="","",IFERROR($N54-$O54,""))</f>
        <v/>
      </c>
      <c r="Q54" s="9">
        <f>IF($A54="","",IF($C54=0,"Review",IF(OR($E54&lt;'Assumptions'!$B$18,$P54&lt;'Assumptions'!$B$17),"Review","OK")))</f>
        <v/>
      </c>
    </row>
    <row r="55">
      <c r="A55" s="31">
        <f>IF(51&lt;='Assumptions'!$B$6,51,"")</f>
        <v/>
      </c>
      <c r="B55" s="61">
        <f>IF($A55="","",IFERROR(EDATE('Assumptions'!$B$5,$A55-1),""))</f>
        <v/>
      </c>
      <c r="C55" s="31">
        <f>IF($A55="","",IFERROR(SUMIFS('Unit Mix'!$D$5:$D$104,'Unit Mix'!$A$5:$A$104,'Assumptions'!$B$4,'Unit Mix'!$I$5:$I$104,"Included"),""))</f>
        <v/>
      </c>
      <c r="D55" s="62">
        <f>IF(OR($A55="",$C55=0),"",IFERROR(SUMPRODUCT(('Unit Mix'!$A$5:$A$104='Assumptions'!$B$4)*('Unit Mix'!$I$5:$I$104="Included")*'Unit Mix'!$D$5:$D$104*('Unit Mix'!$F$5:$F$104+MIN(1,IFERROR(($A55-1)/'Assumptions'!$B$8,0))*('Unit Mix'!$G$5:$G$104-'Unit Mix'!$F$5:$F$104))),""))</f>
        <v/>
      </c>
      <c r="E55" s="49">
        <f>IF(OR($A55="",$C55=0),"",IFERROR($D55/$C55,""))</f>
        <v/>
      </c>
      <c r="F55" s="50">
        <f>IF(OR($A55="",$C55=0),"",IFERROR(SUMPRODUCT(('Unit Mix'!$A$5:$A$104='Assumptions'!$B$4)*('Unit Mix'!$I$5:$I$104="Included")*'Unit Mix'!$D$5:$D$104*'Unit Mix'!$E$5:$E$104)*(1+'Assumptions'!$B$7)^(($A55-1)/12),""))</f>
        <v/>
      </c>
      <c r="G55" s="50">
        <f>IF(OR($A55="",$C55=0),"",IFERROR(SUMPRODUCT(('Unit Mix'!$A$5:$A$104='Assumptions'!$B$4)*('Unit Mix'!$I$5:$I$104="Included")*'Unit Mix'!$D$5:$D$104*'Unit Mix'!$E$5:$E$104*('Unit Mix'!$F$5:$F$104+MIN(1,IFERROR(($A55-1)/'Assumptions'!$B$8,0))*('Unit Mix'!$G$5:$G$104-'Unit Mix'!$F$5:$F$104)))*(1+'Assumptions'!$B$7)^(($A55-1)/12),""))</f>
        <v/>
      </c>
      <c r="H55" s="50">
        <f>IF($G55="","",IFERROR($D55*'Assumptions'!$B$9*(1+'Assumptions'!$B$10)^(($A55-1)/12),""))</f>
        <v/>
      </c>
      <c r="I55" s="50">
        <f>IF($G55="","",IFERROR($G55*'Assumptions'!$B$11,""))</f>
        <v/>
      </c>
      <c r="J55" s="50">
        <f>IF($G55="","",IFERROR(SUM($G55:$I55),""))</f>
        <v/>
      </c>
      <c r="K55" s="50">
        <f>IF($J55="","",IFERROR($J55*'Assumptions'!$B$12,""))</f>
        <v/>
      </c>
      <c r="L55" s="50">
        <f>IF($J55="","",IFERROR('Assumptions'!$B$13*(1+'Assumptions'!$B$14)^(($A55-1)/12),""))</f>
        <v/>
      </c>
      <c r="M55" s="50">
        <f>IF($J55="","",IFERROR('Assumptions'!$B$15,""))</f>
        <v/>
      </c>
      <c r="N55" s="50">
        <f>IF($J55="","",IFERROR($J55-SUM($K55:$M55),""))</f>
        <v/>
      </c>
      <c r="O55" s="50">
        <f>IF($N55="","",IFERROR('Assumptions'!$B$16,""))</f>
        <v/>
      </c>
      <c r="P55" s="50">
        <f>IF($N55="","",IFERROR($N55-$O55,""))</f>
        <v/>
      </c>
      <c r="Q55" s="13">
        <f>IF($A55="","",IF($C55=0,"Review",IF(OR($E55&lt;'Assumptions'!$B$18,$P55&lt;'Assumptions'!$B$17),"Review","OK")))</f>
        <v/>
      </c>
    </row>
    <row r="56">
      <c r="A56" s="34">
        <f>IF(52&lt;='Assumptions'!$B$6,52,"")</f>
        <v/>
      </c>
      <c r="B56" s="63">
        <f>IF($A56="","",IFERROR(EDATE('Assumptions'!$B$5,$A56-1),""))</f>
        <v/>
      </c>
      <c r="C56" s="34">
        <f>IF($A56="","",IFERROR(SUMIFS('Unit Mix'!$D$5:$D$104,'Unit Mix'!$A$5:$A$104,'Assumptions'!$B$4,'Unit Mix'!$I$5:$I$104,"Included"),""))</f>
        <v/>
      </c>
      <c r="D56" s="64">
        <f>IF(OR($A56="",$C56=0),"",IFERROR(SUMPRODUCT(('Unit Mix'!$A$5:$A$104='Assumptions'!$B$4)*('Unit Mix'!$I$5:$I$104="Included")*'Unit Mix'!$D$5:$D$104*('Unit Mix'!$F$5:$F$104+MIN(1,IFERROR(($A56-1)/'Assumptions'!$B$8,0))*('Unit Mix'!$G$5:$G$104-'Unit Mix'!$F$5:$F$104))),""))</f>
        <v/>
      </c>
      <c r="E56" s="47">
        <f>IF(OR($A56="",$C56=0),"",IFERROR($D56/$C56,""))</f>
        <v/>
      </c>
      <c r="F56" s="48">
        <f>IF(OR($A56="",$C56=0),"",IFERROR(SUMPRODUCT(('Unit Mix'!$A$5:$A$104='Assumptions'!$B$4)*('Unit Mix'!$I$5:$I$104="Included")*'Unit Mix'!$D$5:$D$104*'Unit Mix'!$E$5:$E$104)*(1+'Assumptions'!$B$7)^(($A56-1)/12),""))</f>
        <v/>
      </c>
      <c r="G56" s="48">
        <f>IF(OR($A56="",$C56=0),"",IFERROR(SUMPRODUCT(('Unit Mix'!$A$5:$A$104='Assumptions'!$B$4)*('Unit Mix'!$I$5:$I$104="Included")*'Unit Mix'!$D$5:$D$104*'Unit Mix'!$E$5:$E$104*('Unit Mix'!$F$5:$F$104+MIN(1,IFERROR(($A56-1)/'Assumptions'!$B$8,0))*('Unit Mix'!$G$5:$G$104-'Unit Mix'!$F$5:$F$104)))*(1+'Assumptions'!$B$7)^(($A56-1)/12),""))</f>
        <v/>
      </c>
      <c r="H56" s="48">
        <f>IF($G56="","",IFERROR($D56*'Assumptions'!$B$9*(1+'Assumptions'!$B$10)^(($A56-1)/12),""))</f>
        <v/>
      </c>
      <c r="I56" s="48">
        <f>IF($G56="","",IFERROR($G56*'Assumptions'!$B$11,""))</f>
        <v/>
      </c>
      <c r="J56" s="48">
        <f>IF($G56="","",IFERROR(SUM($G56:$I56),""))</f>
        <v/>
      </c>
      <c r="K56" s="48">
        <f>IF($J56="","",IFERROR($J56*'Assumptions'!$B$12,""))</f>
        <v/>
      </c>
      <c r="L56" s="48">
        <f>IF($J56="","",IFERROR('Assumptions'!$B$13*(1+'Assumptions'!$B$14)^(($A56-1)/12),""))</f>
        <v/>
      </c>
      <c r="M56" s="48">
        <f>IF($J56="","",IFERROR('Assumptions'!$B$15,""))</f>
        <v/>
      </c>
      <c r="N56" s="48">
        <f>IF($J56="","",IFERROR($J56-SUM($K56:$M56),""))</f>
        <v/>
      </c>
      <c r="O56" s="48">
        <f>IF($N56="","",IFERROR('Assumptions'!$B$16,""))</f>
        <v/>
      </c>
      <c r="P56" s="48">
        <f>IF($N56="","",IFERROR($N56-$O56,""))</f>
        <v/>
      </c>
      <c r="Q56" s="9">
        <f>IF($A56="","",IF($C56=0,"Review",IF(OR($E56&lt;'Assumptions'!$B$18,$P56&lt;'Assumptions'!$B$17),"Review","OK")))</f>
        <v/>
      </c>
    </row>
    <row r="57">
      <c r="A57" s="31">
        <f>IF(53&lt;='Assumptions'!$B$6,53,"")</f>
        <v/>
      </c>
      <c r="B57" s="61">
        <f>IF($A57="","",IFERROR(EDATE('Assumptions'!$B$5,$A57-1),""))</f>
        <v/>
      </c>
      <c r="C57" s="31">
        <f>IF($A57="","",IFERROR(SUMIFS('Unit Mix'!$D$5:$D$104,'Unit Mix'!$A$5:$A$104,'Assumptions'!$B$4,'Unit Mix'!$I$5:$I$104,"Included"),""))</f>
        <v/>
      </c>
      <c r="D57" s="62">
        <f>IF(OR($A57="",$C57=0),"",IFERROR(SUMPRODUCT(('Unit Mix'!$A$5:$A$104='Assumptions'!$B$4)*('Unit Mix'!$I$5:$I$104="Included")*'Unit Mix'!$D$5:$D$104*('Unit Mix'!$F$5:$F$104+MIN(1,IFERROR(($A57-1)/'Assumptions'!$B$8,0))*('Unit Mix'!$G$5:$G$104-'Unit Mix'!$F$5:$F$104))),""))</f>
        <v/>
      </c>
      <c r="E57" s="49">
        <f>IF(OR($A57="",$C57=0),"",IFERROR($D57/$C57,""))</f>
        <v/>
      </c>
      <c r="F57" s="50">
        <f>IF(OR($A57="",$C57=0),"",IFERROR(SUMPRODUCT(('Unit Mix'!$A$5:$A$104='Assumptions'!$B$4)*('Unit Mix'!$I$5:$I$104="Included")*'Unit Mix'!$D$5:$D$104*'Unit Mix'!$E$5:$E$104)*(1+'Assumptions'!$B$7)^(($A57-1)/12),""))</f>
        <v/>
      </c>
      <c r="G57" s="50">
        <f>IF(OR($A57="",$C57=0),"",IFERROR(SUMPRODUCT(('Unit Mix'!$A$5:$A$104='Assumptions'!$B$4)*('Unit Mix'!$I$5:$I$104="Included")*'Unit Mix'!$D$5:$D$104*'Unit Mix'!$E$5:$E$104*('Unit Mix'!$F$5:$F$104+MIN(1,IFERROR(($A57-1)/'Assumptions'!$B$8,0))*('Unit Mix'!$G$5:$G$104-'Unit Mix'!$F$5:$F$104)))*(1+'Assumptions'!$B$7)^(($A57-1)/12),""))</f>
        <v/>
      </c>
      <c r="H57" s="50">
        <f>IF($G57="","",IFERROR($D57*'Assumptions'!$B$9*(1+'Assumptions'!$B$10)^(($A57-1)/12),""))</f>
        <v/>
      </c>
      <c r="I57" s="50">
        <f>IF($G57="","",IFERROR($G57*'Assumptions'!$B$11,""))</f>
        <v/>
      </c>
      <c r="J57" s="50">
        <f>IF($G57="","",IFERROR(SUM($G57:$I57),""))</f>
        <v/>
      </c>
      <c r="K57" s="50">
        <f>IF($J57="","",IFERROR($J57*'Assumptions'!$B$12,""))</f>
        <v/>
      </c>
      <c r="L57" s="50">
        <f>IF($J57="","",IFERROR('Assumptions'!$B$13*(1+'Assumptions'!$B$14)^(($A57-1)/12),""))</f>
        <v/>
      </c>
      <c r="M57" s="50">
        <f>IF($J57="","",IFERROR('Assumptions'!$B$15,""))</f>
        <v/>
      </c>
      <c r="N57" s="50">
        <f>IF($J57="","",IFERROR($J57-SUM($K57:$M57),""))</f>
        <v/>
      </c>
      <c r="O57" s="50">
        <f>IF($N57="","",IFERROR('Assumptions'!$B$16,""))</f>
        <v/>
      </c>
      <c r="P57" s="50">
        <f>IF($N57="","",IFERROR($N57-$O57,""))</f>
        <v/>
      </c>
      <c r="Q57" s="13">
        <f>IF($A57="","",IF($C57=0,"Review",IF(OR($E57&lt;'Assumptions'!$B$18,$P57&lt;'Assumptions'!$B$17),"Review","OK")))</f>
        <v/>
      </c>
    </row>
    <row r="58">
      <c r="A58" s="34">
        <f>IF(54&lt;='Assumptions'!$B$6,54,"")</f>
        <v/>
      </c>
      <c r="B58" s="63">
        <f>IF($A58="","",IFERROR(EDATE('Assumptions'!$B$5,$A58-1),""))</f>
        <v/>
      </c>
      <c r="C58" s="34">
        <f>IF($A58="","",IFERROR(SUMIFS('Unit Mix'!$D$5:$D$104,'Unit Mix'!$A$5:$A$104,'Assumptions'!$B$4,'Unit Mix'!$I$5:$I$104,"Included"),""))</f>
        <v/>
      </c>
      <c r="D58" s="64">
        <f>IF(OR($A58="",$C58=0),"",IFERROR(SUMPRODUCT(('Unit Mix'!$A$5:$A$104='Assumptions'!$B$4)*('Unit Mix'!$I$5:$I$104="Included")*'Unit Mix'!$D$5:$D$104*('Unit Mix'!$F$5:$F$104+MIN(1,IFERROR(($A58-1)/'Assumptions'!$B$8,0))*('Unit Mix'!$G$5:$G$104-'Unit Mix'!$F$5:$F$104))),""))</f>
        <v/>
      </c>
      <c r="E58" s="47">
        <f>IF(OR($A58="",$C58=0),"",IFERROR($D58/$C58,""))</f>
        <v/>
      </c>
      <c r="F58" s="48">
        <f>IF(OR($A58="",$C58=0),"",IFERROR(SUMPRODUCT(('Unit Mix'!$A$5:$A$104='Assumptions'!$B$4)*('Unit Mix'!$I$5:$I$104="Included")*'Unit Mix'!$D$5:$D$104*'Unit Mix'!$E$5:$E$104)*(1+'Assumptions'!$B$7)^(($A58-1)/12),""))</f>
        <v/>
      </c>
      <c r="G58" s="48">
        <f>IF(OR($A58="",$C58=0),"",IFERROR(SUMPRODUCT(('Unit Mix'!$A$5:$A$104='Assumptions'!$B$4)*('Unit Mix'!$I$5:$I$104="Included")*'Unit Mix'!$D$5:$D$104*'Unit Mix'!$E$5:$E$104*('Unit Mix'!$F$5:$F$104+MIN(1,IFERROR(($A58-1)/'Assumptions'!$B$8,0))*('Unit Mix'!$G$5:$G$104-'Unit Mix'!$F$5:$F$104)))*(1+'Assumptions'!$B$7)^(($A58-1)/12),""))</f>
        <v/>
      </c>
      <c r="H58" s="48">
        <f>IF($G58="","",IFERROR($D58*'Assumptions'!$B$9*(1+'Assumptions'!$B$10)^(($A58-1)/12),""))</f>
        <v/>
      </c>
      <c r="I58" s="48">
        <f>IF($G58="","",IFERROR($G58*'Assumptions'!$B$11,""))</f>
        <v/>
      </c>
      <c r="J58" s="48">
        <f>IF($G58="","",IFERROR(SUM($G58:$I58),""))</f>
        <v/>
      </c>
      <c r="K58" s="48">
        <f>IF($J58="","",IFERROR($J58*'Assumptions'!$B$12,""))</f>
        <v/>
      </c>
      <c r="L58" s="48">
        <f>IF($J58="","",IFERROR('Assumptions'!$B$13*(1+'Assumptions'!$B$14)^(($A58-1)/12),""))</f>
        <v/>
      </c>
      <c r="M58" s="48">
        <f>IF($J58="","",IFERROR('Assumptions'!$B$15,""))</f>
        <v/>
      </c>
      <c r="N58" s="48">
        <f>IF($J58="","",IFERROR($J58-SUM($K58:$M58),""))</f>
        <v/>
      </c>
      <c r="O58" s="48">
        <f>IF($N58="","",IFERROR('Assumptions'!$B$16,""))</f>
        <v/>
      </c>
      <c r="P58" s="48">
        <f>IF($N58="","",IFERROR($N58-$O58,""))</f>
        <v/>
      </c>
      <c r="Q58" s="9">
        <f>IF($A58="","",IF($C58=0,"Review",IF(OR($E58&lt;'Assumptions'!$B$18,$P58&lt;'Assumptions'!$B$17),"Review","OK")))</f>
        <v/>
      </c>
    </row>
    <row r="59">
      <c r="A59" s="31">
        <f>IF(55&lt;='Assumptions'!$B$6,55,"")</f>
        <v/>
      </c>
      <c r="B59" s="61">
        <f>IF($A59="","",IFERROR(EDATE('Assumptions'!$B$5,$A59-1),""))</f>
        <v/>
      </c>
      <c r="C59" s="31">
        <f>IF($A59="","",IFERROR(SUMIFS('Unit Mix'!$D$5:$D$104,'Unit Mix'!$A$5:$A$104,'Assumptions'!$B$4,'Unit Mix'!$I$5:$I$104,"Included"),""))</f>
        <v/>
      </c>
      <c r="D59" s="62">
        <f>IF(OR($A59="",$C59=0),"",IFERROR(SUMPRODUCT(('Unit Mix'!$A$5:$A$104='Assumptions'!$B$4)*('Unit Mix'!$I$5:$I$104="Included")*'Unit Mix'!$D$5:$D$104*('Unit Mix'!$F$5:$F$104+MIN(1,IFERROR(($A59-1)/'Assumptions'!$B$8,0))*('Unit Mix'!$G$5:$G$104-'Unit Mix'!$F$5:$F$104))),""))</f>
        <v/>
      </c>
      <c r="E59" s="49">
        <f>IF(OR($A59="",$C59=0),"",IFERROR($D59/$C59,""))</f>
        <v/>
      </c>
      <c r="F59" s="50">
        <f>IF(OR($A59="",$C59=0),"",IFERROR(SUMPRODUCT(('Unit Mix'!$A$5:$A$104='Assumptions'!$B$4)*('Unit Mix'!$I$5:$I$104="Included")*'Unit Mix'!$D$5:$D$104*'Unit Mix'!$E$5:$E$104)*(1+'Assumptions'!$B$7)^(($A59-1)/12),""))</f>
        <v/>
      </c>
      <c r="G59" s="50">
        <f>IF(OR($A59="",$C59=0),"",IFERROR(SUMPRODUCT(('Unit Mix'!$A$5:$A$104='Assumptions'!$B$4)*('Unit Mix'!$I$5:$I$104="Included")*'Unit Mix'!$D$5:$D$104*'Unit Mix'!$E$5:$E$104*('Unit Mix'!$F$5:$F$104+MIN(1,IFERROR(($A59-1)/'Assumptions'!$B$8,0))*('Unit Mix'!$G$5:$G$104-'Unit Mix'!$F$5:$F$104)))*(1+'Assumptions'!$B$7)^(($A59-1)/12),""))</f>
        <v/>
      </c>
      <c r="H59" s="50">
        <f>IF($G59="","",IFERROR($D59*'Assumptions'!$B$9*(1+'Assumptions'!$B$10)^(($A59-1)/12),""))</f>
        <v/>
      </c>
      <c r="I59" s="50">
        <f>IF($G59="","",IFERROR($G59*'Assumptions'!$B$11,""))</f>
        <v/>
      </c>
      <c r="J59" s="50">
        <f>IF($G59="","",IFERROR(SUM($G59:$I59),""))</f>
        <v/>
      </c>
      <c r="K59" s="50">
        <f>IF($J59="","",IFERROR($J59*'Assumptions'!$B$12,""))</f>
        <v/>
      </c>
      <c r="L59" s="50">
        <f>IF($J59="","",IFERROR('Assumptions'!$B$13*(1+'Assumptions'!$B$14)^(($A59-1)/12),""))</f>
        <v/>
      </c>
      <c r="M59" s="50">
        <f>IF($J59="","",IFERROR('Assumptions'!$B$15,""))</f>
        <v/>
      </c>
      <c r="N59" s="50">
        <f>IF($J59="","",IFERROR($J59-SUM($K59:$M59),""))</f>
        <v/>
      </c>
      <c r="O59" s="50">
        <f>IF($N59="","",IFERROR('Assumptions'!$B$16,""))</f>
        <v/>
      </c>
      <c r="P59" s="50">
        <f>IF($N59="","",IFERROR($N59-$O59,""))</f>
        <v/>
      </c>
      <c r="Q59" s="13">
        <f>IF($A59="","",IF($C59=0,"Review",IF(OR($E59&lt;'Assumptions'!$B$18,$P59&lt;'Assumptions'!$B$17),"Review","OK")))</f>
        <v/>
      </c>
    </row>
    <row r="60">
      <c r="A60" s="34">
        <f>IF(56&lt;='Assumptions'!$B$6,56,"")</f>
        <v/>
      </c>
      <c r="B60" s="63">
        <f>IF($A60="","",IFERROR(EDATE('Assumptions'!$B$5,$A60-1),""))</f>
        <v/>
      </c>
      <c r="C60" s="34">
        <f>IF($A60="","",IFERROR(SUMIFS('Unit Mix'!$D$5:$D$104,'Unit Mix'!$A$5:$A$104,'Assumptions'!$B$4,'Unit Mix'!$I$5:$I$104,"Included"),""))</f>
        <v/>
      </c>
      <c r="D60" s="64">
        <f>IF(OR($A60="",$C60=0),"",IFERROR(SUMPRODUCT(('Unit Mix'!$A$5:$A$104='Assumptions'!$B$4)*('Unit Mix'!$I$5:$I$104="Included")*'Unit Mix'!$D$5:$D$104*('Unit Mix'!$F$5:$F$104+MIN(1,IFERROR(($A60-1)/'Assumptions'!$B$8,0))*('Unit Mix'!$G$5:$G$104-'Unit Mix'!$F$5:$F$104))),""))</f>
        <v/>
      </c>
      <c r="E60" s="47">
        <f>IF(OR($A60="",$C60=0),"",IFERROR($D60/$C60,""))</f>
        <v/>
      </c>
      <c r="F60" s="48">
        <f>IF(OR($A60="",$C60=0),"",IFERROR(SUMPRODUCT(('Unit Mix'!$A$5:$A$104='Assumptions'!$B$4)*('Unit Mix'!$I$5:$I$104="Included")*'Unit Mix'!$D$5:$D$104*'Unit Mix'!$E$5:$E$104)*(1+'Assumptions'!$B$7)^(($A60-1)/12),""))</f>
        <v/>
      </c>
      <c r="G60" s="48">
        <f>IF(OR($A60="",$C60=0),"",IFERROR(SUMPRODUCT(('Unit Mix'!$A$5:$A$104='Assumptions'!$B$4)*('Unit Mix'!$I$5:$I$104="Included")*'Unit Mix'!$D$5:$D$104*'Unit Mix'!$E$5:$E$104*('Unit Mix'!$F$5:$F$104+MIN(1,IFERROR(($A60-1)/'Assumptions'!$B$8,0))*('Unit Mix'!$G$5:$G$104-'Unit Mix'!$F$5:$F$104)))*(1+'Assumptions'!$B$7)^(($A60-1)/12),""))</f>
        <v/>
      </c>
      <c r="H60" s="48">
        <f>IF($G60="","",IFERROR($D60*'Assumptions'!$B$9*(1+'Assumptions'!$B$10)^(($A60-1)/12),""))</f>
        <v/>
      </c>
      <c r="I60" s="48">
        <f>IF($G60="","",IFERROR($G60*'Assumptions'!$B$11,""))</f>
        <v/>
      </c>
      <c r="J60" s="48">
        <f>IF($G60="","",IFERROR(SUM($G60:$I60),""))</f>
        <v/>
      </c>
      <c r="K60" s="48">
        <f>IF($J60="","",IFERROR($J60*'Assumptions'!$B$12,""))</f>
        <v/>
      </c>
      <c r="L60" s="48">
        <f>IF($J60="","",IFERROR('Assumptions'!$B$13*(1+'Assumptions'!$B$14)^(($A60-1)/12),""))</f>
        <v/>
      </c>
      <c r="M60" s="48">
        <f>IF($J60="","",IFERROR('Assumptions'!$B$15,""))</f>
        <v/>
      </c>
      <c r="N60" s="48">
        <f>IF($J60="","",IFERROR($J60-SUM($K60:$M60),""))</f>
        <v/>
      </c>
      <c r="O60" s="48">
        <f>IF($N60="","",IFERROR('Assumptions'!$B$16,""))</f>
        <v/>
      </c>
      <c r="P60" s="48">
        <f>IF($N60="","",IFERROR($N60-$O60,""))</f>
        <v/>
      </c>
      <c r="Q60" s="9">
        <f>IF($A60="","",IF($C60=0,"Review",IF(OR($E60&lt;'Assumptions'!$B$18,$P60&lt;'Assumptions'!$B$17),"Review","OK")))</f>
        <v/>
      </c>
    </row>
    <row r="61">
      <c r="A61" s="31">
        <f>IF(57&lt;='Assumptions'!$B$6,57,"")</f>
        <v/>
      </c>
      <c r="B61" s="61">
        <f>IF($A61="","",IFERROR(EDATE('Assumptions'!$B$5,$A61-1),""))</f>
        <v/>
      </c>
      <c r="C61" s="31">
        <f>IF($A61="","",IFERROR(SUMIFS('Unit Mix'!$D$5:$D$104,'Unit Mix'!$A$5:$A$104,'Assumptions'!$B$4,'Unit Mix'!$I$5:$I$104,"Included"),""))</f>
        <v/>
      </c>
      <c r="D61" s="62">
        <f>IF(OR($A61="",$C61=0),"",IFERROR(SUMPRODUCT(('Unit Mix'!$A$5:$A$104='Assumptions'!$B$4)*('Unit Mix'!$I$5:$I$104="Included")*'Unit Mix'!$D$5:$D$104*('Unit Mix'!$F$5:$F$104+MIN(1,IFERROR(($A61-1)/'Assumptions'!$B$8,0))*('Unit Mix'!$G$5:$G$104-'Unit Mix'!$F$5:$F$104))),""))</f>
        <v/>
      </c>
      <c r="E61" s="49">
        <f>IF(OR($A61="",$C61=0),"",IFERROR($D61/$C61,""))</f>
        <v/>
      </c>
      <c r="F61" s="50">
        <f>IF(OR($A61="",$C61=0),"",IFERROR(SUMPRODUCT(('Unit Mix'!$A$5:$A$104='Assumptions'!$B$4)*('Unit Mix'!$I$5:$I$104="Included")*'Unit Mix'!$D$5:$D$104*'Unit Mix'!$E$5:$E$104)*(1+'Assumptions'!$B$7)^(($A61-1)/12),""))</f>
        <v/>
      </c>
      <c r="G61" s="50">
        <f>IF(OR($A61="",$C61=0),"",IFERROR(SUMPRODUCT(('Unit Mix'!$A$5:$A$104='Assumptions'!$B$4)*('Unit Mix'!$I$5:$I$104="Included")*'Unit Mix'!$D$5:$D$104*'Unit Mix'!$E$5:$E$104*('Unit Mix'!$F$5:$F$104+MIN(1,IFERROR(($A61-1)/'Assumptions'!$B$8,0))*('Unit Mix'!$G$5:$G$104-'Unit Mix'!$F$5:$F$104)))*(1+'Assumptions'!$B$7)^(($A61-1)/12),""))</f>
        <v/>
      </c>
      <c r="H61" s="50">
        <f>IF($G61="","",IFERROR($D61*'Assumptions'!$B$9*(1+'Assumptions'!$B$10)^(($A61-1)/12),""))</f>
        <v/>
      </c>
      <c r="I61" s="50">
        <f>IF($G61="","",IFERROR($G61*'Assumptions'!$B$11,""))</f>
        <v/>
      </c>
      <c r="J61" s="50">
        <f>IF($G61="","",IFERROR(SUM($G61:$I61),""))</f>
        <v/>
      </c>
      <c r="K61" s="50">
        <f>IF($J61="","",IFERROR($J61*'Assumptions'!$B$12,""))</f>
        <v/>
      </c>
      <c r="L61" s="50">
        <f>IF($J61="","",IFERROR('Assumptions'!$B$13*(1+'Assumptions'!$B$14)^(($A61-1)/12),""))</f>
        <v/>
      </c>
      <c r="M61" s="50">
        <f>IF($J61="","",IFERROR('Assumptions'!$B$15,""))</f>
        <v/>
      </c>
      <c r="N61" s="50">
        <f>IF($J61="","",IFERROR($J61-SUM($K61:$M61),""))</f>
        <v/>
      </c>
      <c r="O61" s="50">
        <f>IF($N61="","",IFERROR('Assumptions'!$B$16,""))</f>
        <v/>
      </c>
      <c r="P61" s="50">
        <f>IF($N61="","",IFERROR($N61-$O61,""))</f>
        <v/>
      </c>
      <c r="Q61" s="13">
        <f>IF($A61="","",IF($C61=0,"Review",IF(OR($E61&lt;'Assumptions'!$B$18,$P61&lt;'Assumptions'!$B$17),"Review","OK")))</f>
        <v/>
      </c>
    </row>
    <row r="62">
      <c r="A62" s="34">
        <f>IF(58&lt;='Assumptions'!$B$6,58,"")</f>
        <v/>
      </c>
      <c r="B62" s="63">
        <f>IF($A62="","",IFERROR(EDATE('Assumptions'!$B$5,$A62-1),""))</f>
        <v/>
      </c>
      <c r="C62" s="34">
        <f>IF($A62="","",IFERROR(SUMIFS('Unit Mix'!$D$5:$D$104,'Unit Mix'!$A$5:$A$104,'Assumptions'!$B$4,'Unit Mix'!$I$5:$I$104,"Included"),""))</f>
        <v/>
      </c>
      <c r="D62" s="64">
        <f>IF(OR($A62="",$C62=0),"",IFERROR(SUMPRODUCT(('Unit Mix'!$A$5:$A$104='Assumptions'!$B$4)*('Unit Mix'!$I$5:$I$104="Included")*'Unit Mix'!$D$5:$D$104*('Unit Mix'!$F$5:$F$104+MIN(1,IFERROR(($A62-1)/'Assumptions'!$B$8,0))*('Unit Mix'!$G$5:$G$104-'Unit Mix'!$F$5:$F$104))),""))</f>
        <v/>
      </c>
      <c r="E62" s="47">
        <f>IF(OR($A62="",$C62=0),"",IFERROR($D62/$C62,""))</f>
        <v/>
      </c>
      <c r="F62" s="48">
        <f>IF(OR($A62="",$C62=0),"",IFERROR(SUMPRODUCT(('Unit Mix'!$A$5:$A$104='Assumptions'!$B$4)*('Unit Mix'!$I$5:$I$104="Included")*'Unit Mix'!$D$5:$D$104*'Unit Mix'!$E$5:$E$104)*(1+'Assumptions'!$B$7)^(($A62-1)/12),""))</f>
        <v/>
      </c>
      <c r="G62" s="48">
        <f>IF(OR($A62="",$C62=0),"",IFERROR(SUMPRODUCT(('Unit Mix'!$A$5:$A$104='Assumptions'!$B$4)*('Unit Mix'!$I$5:$I$104="Included")*'Unit Mix'!$D$5:$D$104*'Unit Mix'!$E$5:$E$104*('Unit Mix'!$F$5:$F$104+MIN(1,IFERROR(($A62-1)/'Assumptions'!$B$8,0))*('Unit Mix'!$G$5:$G$104-'Unit Mix'!$F$5:$F$104)))*(1+'Assumptions'!$B$7)^(($A62-1)/12),""))</f>
        <v/>
      </c>
      <c r="H62" s="48">
        <f>IF($G62="","",IFERROR($D62*'Assumptions'!$B$9*(1+'Assumptions'!$B$10)^(($A62-1)/12),""))</f>
        <v/>
      </c>
      <c r="I62" s="48">
        <f>IF($G62="","",IFERROR($G62*'Assumptions'!$B$11,""))</f>
        <v/>
      </c>
      <c r="J62" s="48">
        <f>IF($G62="","",IFERROR(SUM($G62:$I62),""))</f>
        <v/>
      </c>
      <c r="K62" s="48">
        <f>IF($J62="","",IFERROR($J62*'Assumptions'!$B$12,""))</f>
        <v/>
      </c>
      <c r="L62" s="48">
        <f>IF($J62="","",IFERROR('Assumptions'!$B$13*(1+'Assumptions'!$B$14)^(($A62-1)/12),""))</f>
        <v/>
      </c>
      <c r="M62" s="48">
        <f>IF($J62="","",IFERROR('Assumptions'!$B$15,""))</f>
        <v/>
      </c>
      <c r="N62" s="48">
        <f>IF($J62="","",IFERROR($J62-SUM($K62:$M62),""))</f>
        <v/>
      </c>
      <c r="O62" s="48">
        <f>IF($N62="","",IFERROR('Assumptions'!$B$16,""))</f>
        <v/>
      </c>
      <c r="P62" s="48">
        <f>IF($N62="","",IFERROR($N62-$O62,""))</f>
        <v/>
      </c>
      <c r="Q62" s="9">
        <f>IF($A62="","",IF($C62=0,"Review",IF(OR($E62&lt;'Assumptions'!$B$18,$P62&lt;'Assumptions'!$B$17),"Review","OK")))</f>
        <v/>
      </c>
    </row>
    <row r="63">
      <c r="A63" s="31">
        <f>IF(59&lt;='Assumptions'!$B$6,59,"")</f>
        <v/>
      </c>
      <c r="B63" s="61">
        <f>IF($A63="","",IFERROR(EDATE('Assumptions'!$B$5,$A63-1),""))</f>
        <v/>
      </c>
      <c r="C63" s="31">
        <f>IF($A63="","",IFERROR(SUMIFS('Unit Mix'!$D$5:$D$104,'Unit Mix'!$A$5:$A$104,'Assumptions'!$B$4,'Unit Mix'!$I$5:$I$104,"Included"),""))</f>
        <v/>
      </c>
      <c r="D63" s="62">
        <f>IF(OR($A63="",$C63=0),"",IFERROR(SUMPRODUCT(('Unit Mix'!$A$5:$A$104='Assumptions'!$B$4)*('Unit Mix'!$I$5:$I$104="Included")*'Unit Mix'!$D$5:$D$104*('Unit Mix'!$F$5:$F$104+MIN(1,IFERROR(($A63-1)/'Assumptions'!$B$8,0))*('Unit Mix'!$G$5:$G$104-'Unit Mix'!$F$5:$F$104))),""))</f>
        <v/>
      </c>
      <c r="E63" s="49">
        <f>IF(OR($A63="",$C63=0),"",IFERROR($D63/$C63,""))</f>
        <v/>
      </c>
      <c r="F63" s="50">
        <f>IF(OR($A63="",$C63=0),"",IFERROR(SUMPRODUCT(('Unit Mix'!$A$5:$A$104='Assumptions'!$B$4)*('Unit Mix'!$I$5:$I$104="Included")*'Unit Mix'!$D$5:$D$104*'Unit Mix'!$E$5:$E$104)*(1+'Assumptions'!$B$7)^(($A63-1)/12),""))</f>
        <v/>
      </c>
      <c r="G63" s="50">
        <f>IF(OR($A63="",$C63=0),"",IFERROR(SUMPRODUCT(('Unit Mix'!$A$5:$A$104='Assumptions'!$B$4)*('Unit Mix'!$I$5:$I$104="Included")*'Unit Mix'!$D$5:$D$104*'Unit Mix'!$E$5:$E$104*('Unit Mix'!$F$5:$F$104+MIN(1,IFERROR(($A63-1)/'Assumptions'!$B$8,0))*('Unit Mix'!$G$5:$G$104-'Unit Mix'!$F$5:$F$104)))*(1+'Assumptions'!$B$7)^(($A63-1)/12),""))</f>
        <v/>
      </c>
      <c r="H63" s="50">
        <f>IF($G63="","",IFERROR($D63*'Assumptions'!$B$9*(1+'Assumptions'!$B$10)^(($A63-1)/12),""))</f>
        <v/>
      </c>
      <c r="I63" s="50">
        <f>IF($G63="","",IFERROR($G63*'Assumptions'!$B$11,""))</f>
        <v/>
      </c>
      <c r="J63" s="50">
        <f>IF($G63="","",IFERROR(SUM($G63:$I63),""))</f>
        <v/>
      </c>
      <c r="K63" s="50">
        <f>IF($J63="","",IFERROR($J63*'Assumptions'!$B$12,""))</f>
        <v/>
      </c>
      <c r="L63" s="50">
        <f>IF($J63="","",IFERROR('Assumptions'!$B$13*(1+'Assumptions'!$B$14)^(($A63-1)/12),""))</f>
        <v/>
      </c>
      <c r="M63" s="50">
        <f>IF($J63="","",IFERROR('Assumptions'!$B$15,""))</f>
        <v/>
      </c>
      <c r="N63" s="50">
        <f>IF($J63="","",IFERROR($J63-SUM($K63:$M63),""))</f>
        <v/>
      </c>
      <c r="O63" s="50">
        <f>IF($N63="","",IFERROR('Assumptions'!$B$16,""))</f>
        <v/>
      </c>
      <c r="P63" s="50">
        <f>IF($N63="","",IFERROR($N63-$O63,""))</f>
        <v/>
      </c>
      <c r="Q63" s="13">
        <f>IF($A63="","",IF($C63=0,"Review",IF(OR($E63&lt;'Assumptions'!$B$18,$P63&lt;'Assumptions'!$B$17),"Review","OK")))</f>
        <v/>
      </c>
    </row>
    <row r="64">
      <c r="A64" s="34">
        <f>IF(60&lt;='Assumptions'!$B$6,60,"")</f>
        <v/>
      </c>
      <c r="B64" s="63">
        <f>IF($A64="","",IFERROR(EDATE('Assumptions'!$B$5,$A64-1),""))</f>
        <v/>
      </c>
      <c r="C64" s="34">
        <f>IF($A64="","",IFERROR(SUMIFS('Unit Mix'!$D$5:$D$104,'Unit Mix'!$A$5:$A$104,'Assumptions'!$B$4,'Unit Mix'!$I$5:$I$104,"Included"),""))</f>
        <v/>
      </c>
      <c r="D64" s="64">
        <f>IF(OR($A64="",$C64=0),"",IFERROR(SUMPRODUCT(('Unit Mix'!$A$5:$A$104='Assumptions'!$B$4)*('Unit Mix'!$I$5:$I$104="Included")*'Unit Mix'!$D$5:$D$104*('Unit Mix'!$F$5:$F$104+MIN(1,IFERROR(($A64-1)/'Assumptions'!$B$8,0))*('Unit Mix'!$G$5:$G$104-'Unit Mix'!$F$5:$F$104))),""))</f>
        <v/>
      </c>
      <c r="E64" s="47">
        <f>IF(OR($A64="",$C64=0),"",IFERROR($D64/$C64,""))</f>
        <v/>
      </c>
      <c r="F64" s="48">
        <f>IF(OR($A64="",$C64=0),"",IFERROR(SUMPRODUCT(('Unit Mix'!$A$5:$A$104='Assumptions'!$B$4)*('Unit Mix'!$I$5:$I$104="Included")*'Unit Mix'!$D$5:$D$104*'Unit Mix'!$E$5:$E$104)*(1+'Assumptions'!$B$7)^(($A64-1)/12),""))</f>
        <v/>
      </c>
      <c r="G64" s="48">
        <f>IF(OR($A64="",$C64=0),"",IFERROR(SUMPRODUCT(('Unit Mix'!$A$5:$A$104='Assumptions'!$B$4)*('Unit Mix'!$I$5:$I$104="Included")*'Unit Mix'!$D$5:$D$104*'Unit Mix'!$E$5:$E$104*('Unit Mix'!$F$5:$F$104+MIN(1,IFERROR(($A64-1)/'Assumptions'!$B$8,0))*('Unit Mix'!$G$5:$G$104-'Unit Mix'!$F$5:$F$104)))*(1+'Assumptions'!$B$7)^(($A64-1)/12),""))</f>
        <v/>
      </c>
      <c r="H64" s="48">
        <f>IF($G64="","",IFERROR($D64*'Assumptions'!$B$9*(1+'Assumptions'!$B$10)^(($A64-1)/12),""))</f>
        <v/>
      </c>
      <c r="I64" s="48">
        <f>IF($G64="","",IFERROR($G64*'Assumptions'!$B$11,""))</f>
        <v/>
      </c>
      <c r="J64" s="48">
        <f>IF($G64="","",IFERROR(SUM($G64:$I64),""))</f>
        <v/>
      </c>
      <c r="K64" s="48">
        <f>IF($J64="","",IFERROR($J64*'Assumptions'!$B$12,""))</f>
        <v/>
      </c>
      <c r="L64" s="48">
        <f>IF($J64="","",IFERROR('Assumptions'!$B$13*(1+'Assumptions'!$B$14)^(($A64-1)/12),""))</f>
        <v/>
      </c>
      <c r="M64" s="48">
        <f>IF($J64="","",IFERROR('Assumptions'!$B$15,""))</f>
        <v/>
      </c>
      <c r="N64" s="48">
        <f>IF($J64="","",IFERROR($J64-SUM($K64:$M64),""))</f>
        <v/>
      </c>
      <c r="O64" s="48">
        <f>IF($N64="","",IFERROR('Assumptions'!$B$16,""))</f>
        <v/>
      </c>
      <c r="P64" s="48">
        <f>IF($N64="","",IFERROR($N64-$O64,""))</f>
        <v/>
      </c>
      <c r="Q64" s="9">
        <f>IF($A64="","",IF($C64=0,"Review",IF(OR($E64&lt;'Assumptions'!$B$18,$P64&lt;'Assumptions'!$B$17),"Review","OK")))</f>
        <v/>
      </c>
    </row>
    <row r="65">
      <c r="A65" s="31">
        <f>IF(61&lt;='Assumptions'!$B$6,61,"")</f>
        <v/>
      </c>
      <c r="B65" s="61">
        <f>IF($A65="","",IFERROR(EDATE('Assumptions'!$B$5,$A65-1),""))</f>
        <v/>
      </c>
      <c r="C65" s="31">
        <f>IF($A65="","",IFERROR(SUMIFS('Unit Mix'!$D$5:$D$104,'Unit Mix'!$A$5:$A$104,'Assumptions'!$B$4,'Unit Mix'!$I$5:$I$104,"Included"),""))</f>
        <v/>
      </c>
      <c r="D65" s="62">
        <f>IF(OR($A65="",$C65=0),"",IFERROR(SUMPRODUCT(('Unit Mix'!$A$5:$A$104='Assumptions'!$B$4)*('Unit Mix'!$I$5:$I$104="Included")*'Unit Mix'!$D$5:$D$104*('Unit Mix'!$F$5:$F$104+MIN(1,IFERROR(($A65-1)/'Assumptions'!$B$8,0))*('Unit Mix'!$G$5:$G$104-'Unit Mix'!$F$5:$F$104))),""))</f>
        <v/>
      </c>
      <c r="E65" s="49">
        <f>IF(OR($A65="",$C65=0),"",IFERROR($D65/$C65,""))</f>
        <v/>
      </c>
      <c r="F65" s="50">
        <f>IF(OR($A65="",$C65=0),"",IFERROR(SUMPRODUCT(('Unit Mix'!$A$5:$A$104='Assumptions'!$B$4)*('Unit Mix'!$I$5:$I$104="Included")*'Unit Mix'!$D$5:$D$104*'Unit Mix'!$E$5:$E$104)*(1+'Assumptions'!$B$7)^(($A65-1)/12),""))</f>
        <v/>
      </c>
      <c r="G65" s="50">
        <f>IF(OR($A65="",$C65=0),"",IFERROR(SUMPRODUCT(('Unit Mix'!$A$5:$A$104='Assumptions'!$B$4)*('Unit Mix'!$I$5:$I$104="Included")*'Unit Mix'!$D$5:$D$104*'Unit Mix'!$E$5:$E$104*('Unit Mix'!$F$5:$F$104+MIN(1,IFERROR(($A65-1)/'Assumptions'!$B$8,0))*('Unit Mix'!$G$5:$G$104-'Unit Mix'!$F$5:$F$104)))*(1+'Assumptions'!$B$7)^(($A65-1)/12),""))</f>
        <v/>
      </c>
      <c r="H65" s="50">
        <f>IF($G65="","",IFERROR($D65*'Assumptions'!$B$9*(1+'Assumptions'!$B$10)^(($A65-1)/12),""))</f>
        <v/>
      </c>
      <c r="I65" s="50">
        <f>IF($G65="","",IFERROR($G65*'Assumptions'!$B$11,""))</f>
        <v/>
      </c>
      <c r="J65" s="50">
        <f>IF($G65="","",IFERROR(SUM($G65:$I65),""))</f>
        <v/>
      </c>
      <c r="K65" s="50">
        <f>IF($J65="","",IFERROR($J65*'Assumptions'!$B$12,""))</f>
        <v/>
      </c>
      <c r="L65" s="50">
        <f>IF($J65="","",IFERROR('Assumptions'!$B$13*(1+'Assumptions'!$B$14)^(($A65-1)/12),""))</f>
        <v/>
      </c>
      <c r="M65" s="50">
        <f>IF($J65="","",IFERROR('Assumptions'!$B$15,""))</f>
        <v/>
      </c>
      <c r="N65" s="50">
        <f>IF($J65="","",IFERROR($J65-SUM($K65:$M65),""))</f>
        <v/>
      </c>
      <c r="O65" s="50">
        <f>IF($N65="","",IFERROR('Assumptions'!$B$16,""))</f>
        <v/>
      </c>
      <c r="P65" s="50">
        <f>IF($N65="","",IFERROR($N65-$O65,""))</f>
        <v/>
      </c>
      <c r="Q65" s="13">
        <f>IF($A65="","",IF($C65=0,"Review",IF(OR($E65&lt;'Assumptions'!$B$18,$P65&lt;'Assumptions'!$B$17),"Review","OK")))</f>
        <v/>
      </c>
    </row>
    <row r="66">
      <c r="A66" s="34">
        <f>IF(62&lt;='Assumptions'!$B$6,62,"")</f>
        <v/>
      </c>
      <c r="B66" s="63">
        <f>IF($A66="","",IFERROR(EDATE('Assumptions'!$B$5,$A66-1),""))</f>
        <v/>
      </c>
      <c r="C66" s="34">
        <f>IF($A66="","",IFERROR(SUMIFS('Unit Mix'!$D$5:$D$104,'Unit Mix'!$A$5:$A$104,'Assumptions'!$B$4,'Unit Mix'!$I$5:$I$104,"Included"),""))</f>
        <v/>
      </c>
      <c r="D66" s="64">
        <f>IF(OR($A66="",$C66=0),"",IFERROR(SUMPRODUCT(('Unit Mix'!$A$5:$A$104='Assumptions'!$B$4)*('Unit Mix'!$I$5:$I$104="Included")*'Unit Mix'!$D$5:$D$104*('Unit Mix'!$F$5:$F$104+MIN(1,IFERROR(($A66-1)/'Assumptions'!$B$8,0))*('Unit Mix'!$G$5:$G$104-'Unit Mix'!$F$5:$F$104))),""))</f>
        <v/>
      </c>
      <c r="E66" s="47">
        <f>IF(OR($A66="",$C66=0),"",IFERROR($D66/$C66,""))</f>
        <v/>
      </c>
      <c r="F66" s="48">
        <f>IF(OR($A66="",$C66=0),"",IFERROR(SUMPRODUCT(('Unit Mix'!$A$5:$A$104='Assumptions'!$B$4)*('Unit Mix'!$I$5:$I$104="Included")*'Unit Mix'!$D$5:$D$104*'Unit Mix'!$E$5:$E$104)*(1+'Assumptions'!$B$7)^(($A66-1)/12),""))</f>
        <v/>
      </c>
      <c r="G66" s="48">
        <f>IF(OR($A66="",$C66=0),"",IFERROR(SUMPRODUCT(('Unit Mix'!$A$5:$A$104='Assumptions'!$B$4)*('Unit Mix'!$I$5:$I$104="Included")*'Unit Mix'!$D$5:$D$104*'Unit Mix'!$E$5:$E$104*('Unit Mix'!$F$5:$F$104+MIN(1,IFERROR(($A66-1)/'Assumptions'!$B$8,0))*('Unit Mix'!$G$5:$G$104-'Unit Mix'!$F$5:$F$104)))*(1+'Assumptions'!$B$7)^(($A66-1)/12),""))</f>
        <v/>
      </c>
      <c r="H66" s="48">
        <f>IF($G66="","",IFERROR($D66*'Assumptions'!$B$9*(1+'Assumptions'!$B$10)^(($A66-1)/12),""))</f>
        <v/>
      </c>
      <c r="I66" s="48">
        <f>IF($G66="","",IFERROR($G66*'Assumptions'!$B$11,""))</f>
        <v/>
      </c>
      <c r="J66" s="48">
        <f>IF($G66="","",IFERROR(SUM($G66:$I66),""))</f>
        <v/>
      </c>
      <c r="K66" s="48">
        <f>IF($J66="","",IFERROR($J66*'Assumptions'!$B$12,""))</f>
        <v/>
      </c>
      <c r="L66" s="48">
        <f>IF($J66="","",IFERROR('Assumptions'!$B$13*(1+'Assumptions'!$B$14)^(($A66-1)/12),""))</f>
        <v/>
      </c>
      <c r="M66" s="48">
        <f>IF($J66="","",IFERROR('Assumptions'!$B$15,""))</f>
        <v/>
      </c>
      <c r="N66" s="48">
        <f>IF($J66="","",IFERROR($J66-SUM($K66:$M66),""))</f>
        <v/>
      </c>
      <c r="O66" s="48">
        <f>IF($N66="","",IFERROR('Assumptions'!$B$16,""))</f>
        <v/>
      </c>
      <c r="P66" s="48">
        <f>IF($N66="","",IFERROR($N66-$O66,""))</f>
        <v/>
      </c>
      <c r="Q66" s="9">
        <f>IF($A66="","",IF($C66=0,"Review",IF(OR($E66&lt;'Assumptions'!$B$18,$P66&lt;'Assumptions'!$B$17),"Review","OK")))</f>
        <v/>
      </c>
    </row>
    <row r="67">
      <c r="A67" s="31">
        <f>IF(63&lt;='Assumptions'!$B$6,63,"")</f>
        <v/>
      </c>
      <c r="B67" s="61">
        <f>IF($A67="","",IFERROR(EDATE('Assumptions'!$B$5,$A67-1),""))</f>
        <v/>
      </c>
      <c r="C67" s="31">
        <f>IF($A67="","",IFERROR(SUMIFS('Unit Mix'!$D$5:$D$104,'Unit Mix'!$A$5:$A$104,'Assumptions'!$B$4,'Unit Mix'!$I$5:$I$104,"Included"),""))</f>
        <v/>
      </c>
      <c r="D67" s="62">
        <f>IF(OR($A67="",$C67=0),"",IFERROR(SUMPRODUCT(('Unit Mix'!$A$5:$A$104='Assumptions'!$B$4)*('Unit Mix'!$I$5:$I$104="Included")*'Unit Mix'!$D$5:$D$104*('Unit Mix'!$F$5:$F$104+MIN(1,IFERROR(($A67-1)/'Assumptions'!$B$8,0))*('Unit Mix'!$G$5:$G$104-'Unit Mix'!$F$5:$F$104))),""))</f>
        <v/>
      </c>
      <c r="E67" s="49">
        <f>IF(OR($A67="",$C67=0),"",IFERROR($D67/$C67,""))</f>
        <v/>
      </c>
      <c r="F67" s="50">
        <f>IF(OR($A67="",$C67=0),"",IFERROR(SUMPRODUCT(('Unit Mix'!$A$5:$A$104='Assumptions'!$B$4)*('Unit Mix'!$I$5:$I$104="Included")*'Unit Mix'!$D$5:$D$104*'Unit Mix'!$E$5:$E$104)*(1+'Assumptions'!$B$7)^(($A67-1)/12),""))</f>
        <v/>
      </c>
      <c r="G67" s="50">
        <f>IF(OR($A67="",$C67=0),"",IFERROR(SUMPRODUCT(('Unit Mix'!$A$5:$A$104='Assumptions'!$B$4)*('Unit Mix'!$I$5:$I$104="Included")*'Unit Mix'!$D$5:$D$104*'Unit Mix'!$E$5:$E$104*('Unit Mix'!$F$5:$F$104+MIN(1,IFERROR(($A67-1)/'Assumptions'!$B$8,0))*('Unit Mix'!$G$5:$G$104-'Unit Mix'!$F$5:$F$104)))*(1+'Assumptions'!$B$7)^(($A67-1)/12),""))</f>
        <v/>
      </c>
      <c r="H67" s="50">
        <f>IF($G67="","",IFERROR($D67*'Assumptions'!$B$9*(1+'Assumptions'!$B$10)^(($A67-1)/12),""))</f>
        <v/>
      </c>
      <c r="I67" s="50">
        <f>IF($G67="","",IFERROR($G67*'Assumptions'!$B$11,""))</f>
        <v/>
      </c>
      <c r="J67" s="50">
        <f>IF($G67="","",IFERROR(SUM($G67:$I67),""))</f>
        <v/>
      </c>
      <c r="K67" s="50">
        <f>IF($J67="","",IFERROR($J67*'Assumptions'!$B$12,""))</f>
        <v/>
      </c>
      <c r="L67" s="50">
        <f>IF($J67="","",IFERROR('Assumptions'!$B$13*(1+'Assumptions'!$B$14)^(($A67-1)/12),""))</f>
        <v/>
      </c>
      <c r="M67" s="50">
        <f>IF($J67="","",IFERROR('Assumptions'!$B$15,""))</f>
        <v/>
      </c>
      <c r="N67" s="50">
        <f>IF($J67="","",IFERROR($J67-SUM($K67:$M67),""))</f>
        <v/>
      </c>
      <c r="O67" s="50">
        <f>IF($N67="","",IFERROR('Assumptions'!$B$16,""))</f>
        <v/>
      </c>
      <c r="P67" s="50">
        <f>IF($N67="","",IFERROR($N67-$O67,""))</f>
        <v/>
      </c>
      <c r="Q67" s="13">
        <f>IF($A67="","",IF($C67=0,"Review",IF(OR($E67&lt;'Assumptions'!$B$18,$P67&lt;'Assumptions'!$B$17),"Review","OK")))</f>
        <v/>
      </c>
    </row>
    <row r="68">
      <c r="A68" s="34">
        <f>IF(64&lt;='Assumptions'!$B$6,64,"")</f>
        <v/>
      </c>
      <c r="B68" s="63">
        <f>IF($A68="","",IFERROR(EDATE('Assumptions'!$B$5,$A68-1),""))</f>
        <v/>
      </c>
      <c r="C68" s="34">
        <f>IF($A68="","",IFERROR(SUMIFS('Unit Mix'!$D$5:$D$104,'Unit Mix'!$A$5:$A$104,'Assumptions'!$B$4,'Unit Mix'!$I$5:$I$104,"Included"),""))</f>
        <v/>
      </c>
      <c r="D68" s="64">
        <f>IF(OR($A68="",$C68=0),"",IFERROR(SUMPRODUCT(('Unit Mix'!$A$5:$A$104='Assumptions'!$B$4)*('Unit Mix'!$I$5:$I$104="Included")*'Unit Mix'!$D$5:$D$104*('Unit Mix'!$F$5:$F$104+MIN(1,IFERROR(($A68-1)/'Assumptions'!$B$8,0))*('Unit Mix'!$G$5:$G$104-'Unit Mix'!$F$5:$F$104))),""))</f>
        <v/>
      </c>
      <c r="E68" s="47">
        <f>IF(OR($A68="",$C68=0),"",IFERROR($D68/$C68,""))</f>
        <v/>
      </c>
      <c r="F68" s="48">
        <f>IF(OR($A68="",$C68=0),"",IFERROR(SUMPRODUCT(('Unit Mix'!$A$5:$A$104='Assumptions'!$B$4)*('Unit Mix'!$I$5:$I$104="Included")*'Unit Mix'!$D$5:$D$104*'Unit Mix'!$E$5:$E$104)*(1+'Assumptions'!$B$7)^(($A68-1)/12),""))</f>
        <v/>
      </c>
      <c r="G68" s="48">
        <f>IF(OR($A68="",$C68=0),"",IFERROR(SUMPRODUCT(('Unit Mix'!$A$5:$A$104='Assumptions'!$B$4)*('Unit Mix'!$I$5:$I$104="Included")*'Unit Mix'!$D$5:$D$104*'Unit Mix'!$E$5:$E$104*('Unit Mix'!$F$5:$F$104+MIN(1,IFERROR(($A68-1)/'Assumptions'!$B$8,0))*('Unit Mix'!$G$5:$G$104-'Unit Mix'!$F$5:$F$104)))*(1+'Assumptions'!$B$7)^(($A68-1)/12),""))</f>
        <v/>
      </c>
      <c r="H68" s="48">
        <f>IF($G68="","",IFERROR($D68*'Assumptions'!$B$9*(1+'Assumptions'!$B$10)^(($A68-1)/12),""))</f>
        <v/>
      </c>
      <c r="I68" s="48">
        <f>IF($G68="","",IFERROR($G68*'Assumptions'!$B$11,""))</f>
        <v/>
      </c>
      <c r="J68" s="48">
        <f>IF($G68="","",IFERROR(SUM($G68:$I68),""))</f>
        <v/>
      </c>
      <c r="K68" s="48">
        <f>IF($J68="","",IFERROR($J68*'Assumptions'!$B$12,""))</f>
        <v/>
      </c>
      <c r="L68" s="48">
        <f>IF($J68="","",IFERROR('Assumptions'!$B$13*(1+'Assumptions'!$B$14)^(($A68-1)/12),""))</f>
        <v/>
      </c>
      <c r="M68" s="48">
        <f>IF($J68="","",IFERROR('Assumptions'!$B$15,""))</f>
        <v/>
      </c>
      <c r="N68" s="48">
        <f>IF($J68="","",IFERROR($J68-SUM($K68:$M68),""))</f>
        <v/>
      </c>
      <c r="O68" s="48">
        <f>IF($N68="","",IFERROR('Assumptions'!$B$16,""))</f>
        <v/>
      </c>
      <c r="P68" s="48">
        <f>IF($N68="","",IFERROR($N68-$O68,""))</f>
        <v/>
      </c>
      <c r="Q68" s="9">
        <f>IF($A68="","",IF($C68=0,"Review",IF(OR($E68&lt;'Assumptions'!$B$18,$P68&lt;'Assumptions'!$B$17),"Review","OK")))</f>
        <v/>
      </c>
    </row>
    <row r="69">
      <c r="A69" s="31">
        <f>IF(65&lt;='Assumptions'!$B$6,65,"")</f>
        <v/>
      </c>
      <c r="B69" s="61">
        <f>IF($A69="","",IFERROR(EDATE('Assumptions'!$B$5,$A69-1),""))</f>
        <v/>
      </c>
      <c r="C69" s="31">
        <f>IF($A69="","",IFERROR(SUMIFS('Unit Mix'!$D$5:$D$104,'Unit Mix'!$A$5:$A$104,'Assumptions'!$B$4,'Unit Mix'!$I$5:$I$104,"Included"),""))</f>
        <v/>
      </c>
      <c r="D69" s="62">
        <f>IF(OR($A69="",$C69=0),"",IFERROR(SUMPRODUCT(('Unit Mix'!$A$5:$A$104='Assumptions'!$B$4)*('Unit Mix'!$I$5:$I$104="Included")*'Unit Mix'!$D$5:$D$104*('Unit Mix'!$F$5:$F$104+MIN(1,IFERROR(($A69-1)/'Assumptions'!$B$8,0))*('Unit Mix'!$G$5:$G$104-'Unit Mix'!$F$5:$F$104))),""))</f>
        <v/>
      </c>
      <c r="E69" s="49">
        <f>IF(OR($A69="",$C69=0),"",IFERROR($D69/$C69,""))</f>
        <v/>
      </c>
      <c r="F69" s="50">
        <f>IF(OR($A69="",$C69=0),"",IFERROR(SUMPRODUCT(('Unit Mix'!$A$5:$A$104='Assumptions'!$B$4)*('Unit Mix'!$I$5:$I$104="Included")*'Unit Mix'!$D$5:$D$104*'Unit Mix'!$E$5:$E$104)*(1+'Assumptions'!$B$7)^(($A69-1)/12),""))</f>
        <v/>
      </c>
      <c r="G69" s="50">
        <f>IF(OR($A69="",$C69=0),"",IFERROR(SUMPRODUCT(('Unit Mix'!$A$5:$A$104='Assumptions'!$B$4)*('Unit Mix'!$I$5:$I$104="Included")*'Unit Mix'!$D$5:$D$104*'Unit Mix'!$E$5:$E$104*('Unit Mix'!$F$5:$F$104+MIN(1,IFERROR(($A69-1)/'Assumptions'!$B$8,0))*('Unit Mix'!$G$5:$G$104-'Unit Mix'!$F$5:$F$104)))*(1+'Assumptions'!$B$7)^(($A69-1)/12),""))</f>
        <v/>
      </c>
      <c r="H69" s="50">
        <f>IF($G69="","",IFERROR($D69*'Assumptions'!$B$9*(1+'Assumptions'!$B$10)^(($A69-1)/12),""))</f>
        <v/>
      </c>
      <c r="I69" s="50">
        <f>IF($G69="","",IFERROR($G69*'Assumptions'!$B$11,""))</f>
        <v/>
      </c>
      <c r="J69" s="50">
        <f>IF($G69="","",IFERROR(SUM($G69:$I69),""))</f>
        <v/>
      </c>
      <c r="K69" s="50">
        <f>IF($J69="","",IFERROR($J69*'Assumptions'!$B$12,""))</f>
        <v/>
      </c>
      <c r="L69" s="50">
        <f>IF($J69="","",IFERROR('Assumptions'!$B$13*(1+'Assumptions'!$B$14)^(($A69-1)/12),""))</f>
        <v/>
      </c>
      <c r="M69" s="50">
        <f>IF($J69="","",IFERROR('Assumptions'!$B$15,""))</f>
        <v/>
      </c>
      <c r="N69" s="50">
        <f>IF($J69="","",IFERROR($J69-SUM($K69:$M69),""))</f>
        <v/>
      </c>
      <c r="O69" s="50">
        <f>IF($N69="","",IFERROR('Assumptions'!$B$16,""))</f>
        <v/>
      </c>
      <c r="P69" s="50">
        <f>IF($N69="","",IFERROR($N69-$O69,""))</f>
        <v/>
      </c>
      <c r="Q69" s="13">
        <f>IF($A69="","",IF($C69=0,"Review",IF(OR($E69&lt;'Assumptions'!$B$18,$P69&lt;'Assumptions'!$B$17),"Review","OK")))</f>
        <v/>
      </c>
    </row>
    <row r="70">
      <c r="A70" s="34">
        <f>IF(66&lt;='Assumptions'!$B$6,66,"")</f>
        <v/>
      </c>
      <c r="B70" s="63">
        <f>IF($A70="","",IFERROR(EDATE('Assumptions'!$B$5,$A70-1),""))</f>
        <v/>
      </c>
      <c r="C70" s="34">
        <f>IF($A70="","",IFERROR(SUMIFS('Unit Mix'!$D$5:$D$104,'Unit Mix'!$A$5:$A$104,'Assumptions'!$B$4,'Unit Mix'!$I$5:$I$104,"Included"),""))</f>
        <v/>
      </c>
      <c r="D70" s="64">
        <f>IF(OR($A70="",$C70=0),"",IFERROR(SUMPRODUCT(('Unit Mix'!$A$5:$A$104='Assumptions'!$B$4)*('Unit Mix'!$I$5:$I$104="Included")*'Unit Mix'!$D$5:$D$104*('Unit Mix'!$F$5:$F$104+MIN(1,IFERROR(($A70-1)/'Assumptions'!$B$8,0))*('Unit Mix'!$G$5:$G$104-'Unit Mix'!$F$5:$F$104))),""))</f>
        <v/>
      </c>
      <c r="E70" s="47">
        <f>IF(OR($A70="",$C70=0),"",IFERROR($D70/$C70,""))</f>
        <v/>
      </c>
      <c r="F70" s="48">
        <f>IF(OR($A70="",$C70=0),"",IFERROR(SUMPRODUCT(('Unit Mix'!$A$5:$A$104='Assumptions'!$B$4)*('Unit Mix'!$I$5:$I$104="Included")*'Unit Mix'!$D$5:$D$104*'Unit Mix'!$E$5:$E$104)*(1+'Assumptions'!$B$7)^(($A70-1)/12),""))</f>
        <v/>
      </c>
      <c r="G70" s="48">
        <f>IF(OR($A70="",$C70=0),"",IFERROR(SUMPRODUCT(('Unit Mix'!$A$5:$A$104='Assumptions'!$B$4)*('Unit Mix'!$I$5:$I$104="Included")*'Unit Mix'!$D$5:$D$104*'Unit Mix'!$E$5:$E$104*('Unit Mix'!$F$5:$F$104+MIN(1,IFERROR(($A70-1)/'Assumptions'!$B$8,0))*('Unit Mix'!$G$5:$G$104-'Unit Mix'!$F$5:$F$104)))*(1+'Assumptions'!$B$7)^(($A70-1)/12),""))</f>
        <v/>
      </c>
      <c r="H70" s="48">
        <f>IF($G70="","",IFERROR($D70*'Assumptions'!$B$9*(1+'Assumptions'!$B$10)^(($A70-1)/12),""))</f>
        <v/>
      </c>
      <c r="I70" s="48">
        <f>IF($G70="","",IFERROR($G70*'Assumptions'!$B$11,""))</f>
        <v/>
      </c>
      <c r="J70" s="48">
        <f>IF($G70="","",IFERROR(SUM($G70:$I70),""))</f>
        <v/>
      </c>
      <c r="K70" s="48">
        <f>IF($J70="","",IFERROR($J70*'Assumptions'!$B$12,""))</f>
        <v/>
      </c>
      <c r="L70" s="48">
        <f>IF($J70="","",IFERROR('Assumptions'!$B$13*(1+'Assumptions'!$B$14)^(($A70-1)/12),""))</f>
        <v/>
      </c>
      <c r="M70" s="48">
        <f>IF($J70="","",IFERROR('Assumptions'!$B$15,""))</f>
        <v/>
      </c>
      <c r="N70" s="48">
        <f>IF($J70="","",IFERROR($J70-SUM($K70:$M70),""))</f>
        <v/>
      </c>
      <c r="O70" s="48">
        <f>IF($N70="","",IFERROR('Assumptions'!$B$16,""))</f>
        <v/>
      </c>
      <c r="P70" s="48">
        <f>IF($N70="","",IFERROR($N70-$O70,""))</f>
        <v/>
      </c>
      <c r="Q70" s="9">
        <f>IF($A70="","",IF($C70=0,"Review",IF(OR($E70&lt;'Assumptions'!$B$18,$P70&lt;'Assumptions'!$B$17),"Review","OK")))</f>
        <v/>
      </c>
    </row>
    <row r="71">
      <c r="A71" s="31">
        <f>IF(67&lt;='Assumptions'!$B$6,67,"")</f>
        <v/>
      </c>
      <c r="B71" s="61">
        <f>IF($A71="","",IFERROR(EDATE('Assumptions'!$B$5,$A71-1),""))</f>
        <v/>
      </c>
      <c r="C71" s="31">
        <f>IF($A71="","",IFERROR(SUMIFS('Unit Mix'!$D$5:$D$104,'Unit Mix'!$A$5:$A$104,'Assumptions'!$B$4,'Unit Mix'!$I$5:$I$104,"Included"),""))</f>
        <v/>
      </c>
      <c r="D71" s="62">
        <f>IF(OR($A71="",$C71=0),"",IFERROR(SUMPRODUCT(('Unit Mix'!$A$5:$A$104='Assumptions'!$B$4)*('Unit Mix'!$I$5:$I$104="Included")*'Unit Mix'!$D$5:$D$104*('Unit Mix'!$F$5:$F$104+MIN(1,IFERROR(($A71-1)/'Assumptions'!$B$8,0))*('Unit Mix'!$G$5:$G$104-'Unit Mix'!$F$5:$F$104))),""))</f>
        <v/>
      </c>
      <c r="E71" s="49">
        <f>IF(OR($A71="",$C71=0),"",IFERROR($D71/$C71,""))</f>
        <v/>
      </c>
      <c r="F71" s="50">
        <f>IF(OR($A71="",$C71=0),"",IFERROR(SUMPRODUCT(('Unit Mix'!$A$5:$A$104='Assumptions'!$B$4)*('Unit Mix'!$I$5:$I$104="Included")*'Unit Mix'!$D$5:$D$104*'Unit Mix'!$E$5:$E$104)*(1+'Assumptions'!$B$7)^(($A71-1)/12),""))</f>
        <v/>
      </c>
      <c r="G71" s="50">
        <f>IF(OR($A71="",$C71=0),"",IFERROR(SUMPRODUCT(('Unit Mix'!$A$5:$A$104='Assumptions'!$B$4)*('Unit Mix'!$I$5:$I$104="Included")*'Unit Mix'!$D$5:$D$104*'Unit Mix'!$E$5:$E$104*('Unit Mix'!$F$5:$F$104+MIN(1,IFERROR(($A71-1)/'Assumptions'!$B$8,0))*('Unit Mix'!$G$5:$G$104-'Unit Mix'!$F$5:$F$104)))*(1+'Assumptions'!$B$7)^(($A71-1)/12),""))</f>
        <v/>
      </c>
      <c r="H71" s="50">
        <f>IF($G71="","",IFERROR($D71*'Assumptions'!$B$9*(1+'Assumptions'!$B$10)^(($A71-1)/12),""))</f>
        <v/>
      </c>
      <c r="I71" s="50">
        <f>IF($G71="","",IFERROR($G71*'Assumptions'!$B$11,""))</f>
        <v/>
      </c>
      <c r="J71" s="50">
        <f>IF($G71="","",IFERROR(SUM($G71:$I71),""))</f>
        <v/>
      </c>
      <c r="K71" s="50">
        <f>IF($J71="","",IFERROR($J71*'Assumptions'!$B$12,""))</f>
        <v/>
      </c>
      <c r="L71" s="50">
        <f>IF($J71="","",IFERROR('Assumptions'!$B$13*(1+'Assumptions'!$B$14)^(($A71-1)/12),""))</f>
        <v/>
      </c>
      <c r="M71" s="50">
        <f>IF($J71="","",IFERROR('Assumptions'!$B$15,""))</f>
        <v/>
      </c>
      <c r="N71" s="50">
        <f>IF($J71="","",IFERROR($J71-SUM($K71:$M71),""))</f>
        <v/>
      </c>
      <c r="O71" s="50">
        <f>IF($N71="","",IFERROR('Assumptions'!$B$16,""))</f>
        <v/>
      </c>
      <c r="P71" s="50">
        <f>IF($N71="","",IFERROR($N71-$O71,""))</f>
        <v/>
      </c>
      <c r="Q71" s="13">
        <f>IF($A71="","",IF($C71=0,"Review",IF(OR($E71&lt;'Assumptions'!$B$18,$P71&lt;'Assumptions'!$B$17),"Review","OK")))</f>
        <v/>
      </c>
    </row>
    <row r="72">
      <c r="A72" s="34">
        <f>IF(68&lt;='Assumptions'!$B$6,68,"")</f>
        <v/>
      </c>
      <c r="B72" s="63">
        <f>IF($A72="","",IFERROR(EDATE('Assumptions'!$B$5,$A72-1),""))</f>
        <v/>
      </c>
      <c r="C72" s="34">
        <f>IF($A72="","",IFERROR(SUMIFS('Unit Mix'!$D$5:$D$104,'Unit Mix'!$A$5:$A$104,'Assumptions'!$B$4,'Unit Mix'!$I$5:$I$104,"Included"),""))</f>
        <v/>
      </c>
      <c r="D72" s="64">
        <f>IF(OR($A72="",$C72=0),"",IFERROR(SUMPRODUCT(('Unit Mix'!$A$5:$A$104='Assumptions'!$B$4)*('Unit Mix'!$I$5:$I$104="Included")*'Unit Mix'!$D$5:$D$104*('Unit Mix'!$F$5:$F$104+MIN(1,IFERROR(($A72-1)/'Assumptions'!$B$8,0))*('Unit Mix'!$G$5:$G$104-'Unit Mix'!$F$5:$F$104))),""))</f>
        <v/>
      </c>
      <c r="E72" s="47">
        <f>IF(OR($A72="",$C72=0),"",IFERROR($D72/$C72,""))</f>
        <v/>
      </c>
      <c r="F72" s="48">
        <f>IF(OR($A72="",$C72=0),"",IFERROR(SUMPRODUCT(('Unit Mix'!$A$5:$A$104='Assumptions'!$B$4)*('Unit Mix'!$I$5:$I$104="Included")*'Unit Mix'!$D$5:$D$104*'Unit Mix'!$E$5:$E$104)*(1+'Assumptions'!$B$7)^(($A72-1)/12),""))</f>
        <v/>
      </c>
      <c r="G72" s="48">
        <f>IF(OR($A72="",$C72=0),"",IFERROR(SUMPRODUCT(('Unit Mix'!$A$5:$A$104='Assumptions'!$B$4)*('Unit Mix'!$I$5:$I$104="Included")*'Unit Mix'!$D$5:$D$104*'Unit Mix'!$E$5:$E$104*('Unit Mix'!$F$5:$F$104+MIN(1,IFERROR(($A72-1)/'Assumptions'!$B$8,0))*('Unit Mix'!$G$5:$G$104-'Unit Mix'!$F$5:$F$104)))*(1+'Assumptions'!$B$7)^(($A72-1)/12),""))</f>
        <v/>
      </c>
      <c r="H72" s="48">
        <f>IF($G72="","",IFERROR($D72*'Assumptions'!$B$9*(1+'Assumptions'!$B$10)^(($A72-1)/12),""))</f>
        <v/>
      </c>
      <c r="I72" s="48">
        <f>IF($G72="","",IFERROR($G72*'Assumptions'!$B$11,""))</f>
        <v/>
      </c>
      <c r="J72" s="48">
        <f>IF($G72="","",IFERROR(SUM($G72:$I72),""))</f>
        <v/>
      </c>
      <c r="K72" s="48">
        <f>IF($J72="","",IFERROR($J72*'Assumptions'!$B$12,""))</f>
        <v/>
      </c>
      <c r="L72" s="48">
        <f>IF($J72="","",IFERROR('Assumptions'!$B$13*(1+'Assumptions'!$B$14)^(($A72-1)/12),""))</f>
        <v/>
      </c>
      <c r="M72" s="48">
        <f>IF($J72="","",IFERROR('Assumptions'!$B$15,""))</f>
        <v/>
      </c>
      <c r="N72" s="48">
        <f>IF($J72="","",IFERROR($J72-SUM($K72:$M72),""))</f>
        <v/>
      </c>
      <c r="O72" s="48">
        <f>IF($N72="","",IFERROR('Assumptions'!$B$16,""))</f>
        <v/>
      </c>
      <c r="P72" s="48">
        <f>IF($N72="","",IFERROR($N72-$O72,""))</f>
        <v/>
      </c>
      <c r="Q72" s="9">
        <f>IF($A72="","",IF($C72=0,"Review",IF(OR($E72&lt;'Assumptions'!$B$18,$P72&lt;'Assumptions'!$B$17),"Review","OK")))</f>
        <v/>
      </c>
    </row>
    <row r="73">
      <c r="A73" s="31">
        <f>IF(69&lt;='Assumptions'!$B$6,69,"")</f>
        <v/>
      </c>
      <c r="B73" s="61">
        <f>IF($A73="","",IFERROR(EDATE('Assumptions'!$B$5,$A73-1),""))</f>
        <v/>
      </c>
      <c r="C73" s="31">
        <f>IF($A73="","",IFERROR(SUMIFS('Unit Mix'!$D$5:$D$104,'Unit Mix'!$A$5:$A$104,'Assumptions'!$B$4,'Unit Mix'!$I$5:$I$104,"Included"),""))</f>
        <v/>
      </c>
      <c r="D73" s="62">
        <f>IF(OR($A73="",$C73=0),"",IFERROR(SUMPRODUCT(('Unit Mix'!$A$5:$A$104='Assumptions'!$B$4)*('Unit Mix'!$I$5:$I$104="Included")*'Unit Mix'!$D$5:$D$104*('Unit Mix'!$F$5:$F$104+MIN(1,IFERROR(($A73-1)/'Assumptions'!$B$8,0))*('Unit Mix'!$G$5:$G$104-'Unit Mix'!$F$5:$F$104))),""))</f>
        <v/>
      </c>
      <c r="E73" s="49">
        <f>IF(OR($A73="",$C73=0),"",IFERROR($D73/$C73,""))</f>
        <v/>
      </c>
      <c r="F73" s="50">
        <f>IF(OR($A73="",$C73=0),"",IFERROR(SUMPRODUCT(('Unit Mix'!$A$5:$A$104='Assumptions'!$B$4)*('Unit Mix'!$I$5:$I$104="Included")*'Unit Mix'!$D$5:$D$104*'Unit Mix'!$E$5:$E$104)*(1+'Assumptions'!$B$7)^(($A73-1)/12),""))</f>
        <v/>
      </c>
      <c r="G73" s="50">
        <f>IF(OR($A73="",$C73=0),"",IFERROR(SUMPRODUCT(('Unit Mix'!$A$5:$A$104='Assumptions'!$B$4)*('Unit Mix'!$I$5:$I$104="Included")*'Unit Mix'!$D$5:$D$104*'Unit Mix'!$E$5:$E$104*('Unit Mix'!$F$5:$F$104+MIN(1,IFERROR(($A73-1)/'Assumptions'!$B$8,0))*('Unit Mix'!$G$5:$G$104-'Unit Mix'!$F$5:$F$104)))*(1+'Assumptions'!$B$7)^(($A73-1)/12),""))</f>
        <v/>
      </c>
      <c r="H73" s="50">
        <f>IF($G73="","",IFERROR($D73*'Assumptions'!$B$9*(1+'Assumptions'!$B$10)^(($A73-1)/12),""))</f>
        <v/>
      </c>
      <c r="I73" s="50">
        <f>IF($G73="","",IFERROR($G73*'Assumptions'!$B$11,""))</f>
        <v/>
      </c>
      <c r="J73" s="50">
        <f>IF($G73="","",IFERROR(SUM($G73:$I73),""))</f>
        <v/>
      </c>
      <c r="K73" s="50">
        <f>IF($J73="","",IFERROR($J73*'Assumptions'!$B$12,""))</f>
        <v/>
      </c>
      <c r="L73" s="50">
        <f>IF($J73="","",IFERROR('Assumptions'!$B$13*(1+'Assumptions'!$B$14)^(($A73-1)/12),""))</f>
        <v/>
      </c>
      <c r="M73" s="50">
        <f>IF($J73="","",IFERROR('Assumptions'!$B$15,""))</f>
        <v/>
      </c>
      <c r="N73" s="50">
        <f>IF($J73="","",IFERROR($J73-SUM($K73:$M73),""))</f>
        <v/>
      </c>
      <c r="O73" s="50">
        <f>IF($N73="","",IFERROR('Assumptions'!$B$16,""))</f>
        <v/>
      </c>
      <c r="P73" s="50">
        <f>IF($N73="","",IFERROR($N73-$O73,""))</f>
        <v/>
      </c>
      <c r="Q73" s="13">
        <f>IF($A73="","",IF($C73=0,"Review",IF(OR($E73&lt;'Assumptions'!$B$18,$P73&lt;'Assumptions'!$B$17),"Review","OK")))</f>
        <v/>
      </c>
    </row>
    <row r="74">
      <c r="A74" s="34">
        <f>IF(70&lt;='Assumptions'!$B$6,70,"")</f>
        <v/>
      </c>
      <c r="B74" s="63">
        <f>IF($A74="","",IFERROR(EDATE('Assumptions'!$B$5,$A74-1),""))</f>
        <v/>
      </c>
      <c r="C74" s="34">
        <f>IF($A74="","",IFERROR(SUMIFS('Unit Mix'!$D$5:$D$104,'Unit Mix'!$A$5:$A$104,'Assumptions'!$B$4,'Unit Mix'!$I$5:$I$104,"Included"),""))</f>
        <v/>
      </c>
      <c r="D74" s="64">
        <f>IF(OR($A74="",$C74=0),"",IFERROR(SUMPRODUCT(('Unit Mix'!$A$5:$A$104='Assumptions'!$B$4)*('Unit Mix'!$I$5:$I$104="Included")*'Unit Mix'!$D$5:$D$104*('Unit Mix'!$F$5:$F$104+MIN(1,IFERROR(($A74-1)/'Assumptions'!$B$8,0))*('Unit Mix'!$G$5:$G$104-'Unit Mix'!$F$5:$F$104))),""))</f>
        <v/>
      </c>
      <c r="E74" s="47">
        <f>IF(OR($A74="",$C74=0),"",IFERROR($D74/$C74,""))</f>
        <v/>
      </c>
      <c r="F74" s="48">
        <f>IF(OR($A74="",$C74=0),"",IFERROR(SUMPRODUCT(('Unit Mix'!$A$5:$A$104='Assumptions'!$B$4)*('Unit Mix'!$I$5:$I$104="Included")*'Unit Mix'!$D$5:$D$104*'Unit Mix'!$E$5:$E$104)*(1+'Assumptions'!$B$7)^(($A74-1)/12),""))</f>
        <v/>
      </c>
      <c r="G74" s="48">
        <f>IF(OR($A74="",$C74=0),"",IFERROR(SUMPRODUCT(('Unit Mix'!$A$5:$A$104='Assumptions'!$B$4)*('Unit Mix'!$I$5:$I$104="Included")*'Unit Mix'!$D$5:$D$104*'Unit Mix'!$E$5:$E$104*('Unit Mix'!$F$5:$F$104+MIN(1,IFERROR(($A74-1)/'Assumptions'!$B$8,0))*('Unit Mix'!$G$5:$G$104-'Unit Mix'!$F$5:$F$104)))*(1+'Assumptions'!$B$7)^(($A74-1)/12),""))</f>
        <v/>
      </c>
      <c r="H74" s="48">
        <f>IF($G74="","",IFERROR($D74*'Assumptions'!$B$9*(1+'Assumptions'!$B$10)^(($A74-1)/12),""))</f>
        <v/>
      </c>
      <c r="I74" s="48">
        <f>IF($G74="","",IFERROR($G74*'Assumptions'!$B$11,""))</f>
        <v/>
      </c>
      <c r="J74" s="48">
        <f>IF($G74="","",IFERROR(SUM($G74:$I74),""))</f>
        <v/>
      </c>
      <c r="K74" s="48">
        <f>IF($J74="","",IFERROR($J74*'Assumptions'!$B$12,""))</f>
        <v/>
      </c>
      <c r="L74" s="48">
        <f>IF($J74="","",IFERROR('Assumptions'!$B$13*(1+'Assumptions'!$B$14)^(($A74-1)/12),""))</f>
        <v/>
      </c>
      <c r="M74" s="48">
        <f>IF($J74="","",IFERROR('Assumptions'!$B$15,""))</f>
        <v/>
      </c>
      <c r="N74" s="48">
        <f>IF($J74="","",IFERROR($J74-SUM($K74:$M74),""))</f>
        <v/>
      </c>
      <c r="O74" s="48">
        <f>IF($N74="","",IFERROR('Assumptions'!$B$16,""))</f>
        <v/>
      </c>
      <c r="P74" s="48">
        <f>IF($N74="","",IFERROR($N74-$O74,""))</f>
        <v/>
      </c>
      <c r="Q74" s="9">
        <f>IF($A74="","",IF($C74=0,"Review",IF(OR($E74&lt;'Assumptions'!$B$18,$P74&lt;'Assumptions'!$B$17),"Review","OK")))</f>
        <v/>
      </c>
    </row>
    <row r="75">
      <c r="A75" s="31">
        <f>IF(71&lt;='Assumptions'!$B$6,71,"")</f>
        <v/>
      </c>
      <c r="B75" s="61">
        <f>IF($A75="","",IFERROR(EDATE('Assumptions'!$B$5,$A75-1),""))</f>
        <v/>
      </c>
      <c r="C75" s="31">
        <f>IF($A75="","",IFERROR(SUMIFS('Unit Mix'!$D$5:$D$104,'Unit Mix'!$A$5:$A$104,'Assumptions'!$B$4,'Unit Mix'!$I$5:$I$104,"Included"),""))</f>
        <v/>
      </c>
      <c r="D75" s="62">
        <f>IF(OR($A75="",$C75=0),"",IFERROR(SUMPRODUCT(('Unit Mix'!$A$5:$A$104='Assumptions'!$B$4)*('Unit Mix'!$I$5:$I$104="Included")*'Unit Mix'!$D$5:$D$104*('Unit Mix'!$F$5:$F$104+MIN(1,IFERROR(($A75-1)/'Assumptions'!$B$8,0))*('Unit Mix'!$G$5:$G$104-'Unit Mix'!$F$5:$F$104))),""))</f>
        <v/>
      </c>
      <c r="E75" s="49">
        <f>IF(OR($A75="",$C75=0),"",IFERROR($D75/$C75,""))</f>
        <v/>
      </c>
      <c r="F75" s="50">
        <f>IF(OR($A75="",$C75=0),"",IFERROR(SUMPRODUCT(('Unit Mix'!$A$5:$A$104='Assumptions'!$B$4)*('Unit Mix'!$I$5:$I$104="Included")*'Unit Mix'!$D$5:$D$104*'Unit Mix'!$E$5:$E$104)*(1+'Assumptions'!$B$7)^(($A75-1)/12),""))</f>
        <v/>
      </c>
      <c r="G75" s="50">
        <f>IF(OR($A75="",$C75=0),"",IFERROR(SUMPRODUCT(('Unit Mix'!$A$5:$A$104='Assumptions'!$B$4)*('Unit Mix'!$I$5:$I$104="Included")*'Unit Mix'!$D$5:$D$104*'Unit Mix'!$E$5:$E$104*('Unit Mix'!$F$5:$F$104+MIN(1,IFERROR(($A75-1)/'Assumptions'!$B$8,0))*('Unit Mix'!$G$5:$G$104-'Unit Mix'!$F$5:$F$104)))*(1+'Assumptions'!$B$7)^(($A75-1)/12),""))</f>
        <v/>
      </c>
      <c r="H75" s="50">
        <f>IF($G75="","",IFERROR($D75*'Assumptions'!$B$9*(1+'Assumptions'!$B$10)^(($A75-1)/12),""))</f>
        <v/>
      </c>
      <c r="I75" s="50">
        <f>IF($G75="","",IFERROR($G75*'Assumptions'!$B$11,""))</f>
        <v/>
      </c>
      <c r="J75" s="50">
        <f>IF($G75="","",IFERROR(SUM($G75:$I75),""))</f>
        <v/>
      </c>
      <c r="K75" s="50">
        <f>IF($J75="","",IFERROR($J75*'Assumptions'!$B$12,""))</f>
        <v/>
      </c>
      <c r="L75" s="50">
        <f>IF($J75="","",IFERROR('Assumptions'!$B$13*(1+'Assumptions'!$B$14)^(($A75-1)/12),""))</f>
        <v/>
      </c>
      <c r="M75" s="50">
        <f>IF($J75="","",IFERROR('Assumptions'!$B$15,""))</f>
        <v/>
      </c>
      <c r="N75" s="50">
        <f>IF($J75="","",IFERROR($J75-SUM($K75:$M75),""))</f>
        <v/>
      </c>
      <c r="O75" s="50">
        <f>IF($N75="","",IFERROR('Assumptions'!$B$16,""))</f>
        <v/>
      </c>
      <c r="P75" s="50">
        <f>IF($N75="","",IFERROR($N75-$O75,""))</f>
        <v/>
      </c>
      <c r="Q75" s="13">
        <f>IF($A75="","",IF($C75=0,"Review",IF(OR($E75&lt;'Assumptions'!$B$18,$P75&lt;'Assumptions'!$B$17),"Review","OK")))</f>
        <v/>
      </c>
    </row>
    <row r="76">
      <c r="A76" s="34">
        <f>IF(72&lt;='Assumptions'!$B$6,72,"")</f>
        <v/>
      </c>
      <c r="B76" s="63">
        <f>IF($A76="","",IFERROR(EDATE('Assumptions'!$B$5,$A76-1),""))</f>
        <v/>
      </c>
      <c r="C76" s="34">
        <f>IF($A76="","",IFERROR(SUMIFS('Unit Mix'!$D$5:$D$104,'Unit Mix'!$A$5:$A$104,'Assumptions'!$B$4,'Unit Mix'!$I$5:$I$104,"Included"),""))</f>
        <v/>
      </c>
      <c r="D76" s="64">
        <f>IF(OR($A76="",$C76=0),"",IFERROR(SUMPRODUCT(('Unit Mix'!$A$5:$A$104='Assumptions'!$B$4)*('Unit Mix'!$I$5:$I$104="Included")*'Unit Mix'!$D$5:$D$104*('Unit Mix'!$F$5:$F$104+MIN(1,IFERROR(($A76-1)/'Assumptions'!$B$8,0))*('Unit Mix'!$G$5:$G$104-'Unit Mix'!$F$5:$F$104))),""))</f>
        <v/>
      </c>
      <c r="E76" s="47">
        <f>IF(OR($A76="",$C76=0),"",IFERROR($D76/$C76,""))</f>
        <v/>
      </c>
      <c r="F76" s="48">
        <f>IF(OR($A76="",$C76=0),"",IFERROR(SUMPRODUCT(('Unit Mix'!$A$5:$A$104='Assumptions'!$B$4)*('Unit Mix'!$I$5:$I$104="Included")*'Unit Mix'!$D$5:$D$104*'Unit Mix'!$E$5:$E$104)*(1+'Assumptions'!$B$7)^(($A76-1)/12),""))</f>
        <v/>
      </c>
      <c r="G76" s="48">
        <f>IF(OR($A76="",$C76=0),"",IFERROR(SUMPRODUCT(('Unit Mix'!$A$5:$A$104='Assumptions'!$B$4)*('Unit Mix'!$I$5:$I$104="Included")*'Unit Mix'!$D$5:$D$104*'Unit Mix'!$E$5:$E$104*('Unit Mix'!$F$5:$F$104+MIN(1,IFERROR(($A76-1)/'Assumptions'!$B$8,0))*('Unit Mix'!$G$5:$G$104-'Unit Mix'!$F$5:$F$104)))*(1+'Assumptions'!$B$7)^(($A76-1)/12),""))</f>
        <v/>
      </c>
      <c r="H76" s="48">
        <f>IF($G76="","",IFERROR($D76*'Assumptions'!$B$9*(1+'Assumptions'!$B$10)^(($A76-1)/12),""))</f>
        <v/>
      </c>
      <c r="I76" s="48">
        <f>IF($G76="","",IFERROR($G76*'Assumptions'!$B$11,""))</f>
        <v/>
      </c>
      <c r="J76" s="48">
        <f>IF($G76="","",IFERROR(SUM($G76:$I76),""))</f>
        <v/>
      </c>
      <c r="K76" s="48">
        <f>IF($J76="","",IFERROR($J76*'Assumptions'!$B$12,""))</f>
        <v/>
      </c>
      <c r="L76" s="48">
        <f>IF($J76="","",IFERROR('Assumptions'!$B$13*(1+'Assumptions'!$B$14)^(($A76-1)/12),""))</f>
        <v/>
      </c>
      <c r="M76" s="48">
        <f>IF($J76="","",IFERROR('Assumptions'!$B$15,""))</f>
        <v/>
      </c>
      <c r="N76" s="48">
        <f>IF($J76="","",IFERROR($J76-SUM($K76:$M76),""))</f>
        <v/>
      </c>
      <c r="O76" s="48">
        <f>IF($N76="","",IFERROR('Assumptions'!$B$16,""))</f>
        <v/>
      </c>
      <c r="P76" s="48">
        <f>IF($N76="","",IFERROR($N76-$O76,""))</f>
        <v/>
      </c>
      <c r="Q76" s="9">
        <f>IF($A76="","",IF($C76=0,"Review",IF(OR($E76&lt;'Assumptions'!$B$18,$P76&lt;'Assumptions'!$B$17),"Review","OK")))</f>
        <v/>
      </c>
    </row>
    <row r="77">
      <c r="A77" s="31">
        <f>IF(73&lt;='Assumptions'!$B$6,73,"")</f>
        <v/>
      </c>
      <c r="B77" s="61">
        <f>IF($A77="","",IFERROR(EDATE('Assumptions'!$B$5,$A77-1),""))</f>
        <v/>
      </c>
      <c r="C77" s="31">
        <f>IF($A77="","",IFERROR(SUMIFS('Unit Mix'!$D$5:$D$104,'Unit Mix'!$A$5:$A$104,'Assumptions'!$B$4,'Unit Mix'!$I$5:$I$104,"Included"),""))</f>
        <v/>
      </c>
      <c r="D77" s="62">
        <f>IF(OR($A77="",$C77=0),"",IFERROR(SUMPRODUCT(('Unit Mix'!$A$5:$A$104='Assumptions'!$B$4)*('Unit Mix'!$I$5:$I$104="Included")*'Unit Mix'!$D$5:$D$104*('Unit Mix'!$F$5:$F$104+MIN(1,IFERROR(($A77-1)/'Assumptions'!$B$8,0))*('Unit Mix'!$G$5:$G$104-'Unit Mix'!$F$5:$F$104))),""))</f>
        <v/>
      </c>
      <c r="E77" s="49">
        <f>IF(OR($A77="",$C77=0),"",IFERROR($D77/$C77,""))</f>
        <v/>
      </c>
      <c r="F77" s="50">
        <f>IF(OR($A77="",$C77=0),"",IFERROR(SUMPRODUCT(('Unit Mix'!$A$5:$A$104='Assumptions'!$B$4)*('Unit Mix'!$I$5:$I$104="Included")*'Unit Mix'!$D$5:$D$104*'Unit Mix'!$E$5:$E$104)*(1+'Assumptions'!$B$7)^(($A77-1)/12),""))</f>
        <v/>
      </c>
      <c r="G77" s="50">
        <f>IF(OR($A77="",$C77=0),"",IFERROR(SUMPRODUCT(('Unit Mix'!$A$5:$A$104='Assumptions'!$B$4)*('Unit Mix'!$I$5:$I$104="Included")*'Unit Mix'!$D$5:$D$104*'Unit Mix'!$E$5:$E$104*('Unit Mix'!$F$5:$F$104+MIN(1,IFERROR(($A77-1)/'Assumptions'!$B$8,0))*('Unit Mix'!$G$5:$G$104-'Unit Mix'!$F$5:$F$104)))*(1+'Assumptions'!$B$7)^(($A77-1)/12),""))</f>
        <v/>
      </c>
      <c r="H77" s="50">
        <f>IF($G77="","",IFERROR($D77*'Assumptions'!$B$9*(1+'Assumptions'!$B$10)^(($A77-1)/12),""))</f>
        <v/>
      </c>
      <c r="I77" s="50">
        <f>IF($G77="","",IFERROR($G77*'Assumptions'!$B$11,""))</f>
        <v/>
      </c>
      <c r="J77" s="50">
        <f>IF($G77="","",IFERROR(SUM($G77:$I77),""))</f>
        <v/>
      </c>
      <c r="K77" s="50">
        <f>IF($J77="","",IFERROR($J77*'Assumptions'!$B$12,""))</f>
        <v/>
      </c>
      <c r="L77" s="50">
        <f>IF($J77="","",IFERROR('Assumptions'!$B$13*(1+'Assumptions'!$B$14)^(($A77-1)/12),""))</f>
        <v/>
      </c>
      <c r="M77" s="50">
        <f>IF($J77="","",IFERROR('Assumptions'!$B$15,""))</f>
        <v/>
      </c>
      <c r="N77" s="50">
        <f>IF($J77="","",IFERROR($J77-SUM($K77:$M77),""))</f>
        <v/>
      </c>
      <c r="O77" s="50">
        <f>IF($N77="","",IFERROR('Assumptions'!$B$16,""))</f>
        <v/>
      </c>
      <c r="P77" s="50">
        <f>IF($N77="","",IFERROR($N77-$O77,""))</f>
        <v/>
      </c>
      <c r="Q77" s="13">
        <f>IF($A77="","",IF($C77=0,"Review",IF(OR($E77&lt;'Assumptions'!$B$18,$P77&lt;'Assumptions'!$B$17),"Review","OK")))</f>
        <v/>
      </c>
    </row>
    <row r="78">
      <c r="A78" s="34">
        <f>IF(74&lt;='Assumptions'!$B$6,74,"")</f>
        <v/>
      </c>
      <c r="B78" s="63">
        <f>IF($A78="","",IFERROR(EDATE('Assumptions'!$B$5,$A78-1),""))</f>
        <v/>
      </c>
      <c r="C78" s="34">
        <f>IF($A78="","",IFERROR(SUMIFS('Unit Mix'!$D$5:$D$104,'Unit Mix'!$A$5:$A$104,'Assumptions'!$B$4,'Unit Mix'!$I$5:$I$104,"Included"),""))</f>
        <v/>
      </c>
      <c r="D78" s="64">
        <f>IF(OR($A78="",$C78=0),"",IFERROR(SUMPRODUCT(('Unit Mix'!$A$5:$A$104='Assumptions'!$B$4)*('Unit Mix'!$I$5:$I$104="Included")*'Unit Mix'!$D$5:$D$104*('Unit Mix'!$F$5:$F$104+MIN(1,IFERROR(($A78-1)/'Assumptions'!$B$8,0))*('Unit Mix'!$G$5:$G$104-'Unit Mix'!$F$5:$F$104))),""))</f>
        <v/>
      </c>
      <c r="E78" s="47">
        <f>IF(OR($A78="",$C78=0),"",IFERROR($D78/$C78,""))</f>
        <v/>
      </c>
      <c r="F78" s="48">
        <f>IF(OR($A78="",$C78=0),"",IFERROR(SUMPRODUCT(('Unit Mix'!$A$5:$A$104='Assumptions'!$B$4)*('Unit Mix'!$I$5:$I$104="Included")*'Unit Mix'!$D$5:$D$104*'Unit Mix'!$E$5:$E$104)*(1+'Assumptions'!$B$7)^(($A78-1)/12),""))</f>
        <v/>
      </c>
      <c r="G78" s="48">
        <f>IF(OR($A78="",$C78=0),"",IFERROR(SUMPRODUCT(('Unit Mix'!$A$5:$A$104='Assumptions'!$B$4)*('Unit Mix'!$I$5:$I$104="Included")*'Unit Mix'!$D$5:$D$104*'Unit Mix'!$E$5:$E$104*('Unit Mix'!$F$5:$F$104+MIN(1,IFERROR(($A78-1)/'Assumptions'!$B$8,0))*('Unit Mix'!$G$5:$G$104-'Unit Mix'!$F$5:$F$104)))*(1+'Assumptions'!$B$7)^(($A78-1)/12),""))</f>
        <v/>
      </c>
      <c r="H78" s="48">
        <f>IF($G78="","",IFERROR($D78*'Assumptions'!$B$9*(1+'Assumptions'!$B$10)^(($A78-1)/12),""))</f>
        <v/>
      </c>
      <c r="I78" s="48">
        <f>IF($G78="","",IFERROR($G78*'Assumptions'!$B$11,""))</f>
        <v/>
      </c>
      <c r="J78" s="48">
        <f>IF($G78="","",IFERROR(SUM($G78:$I78),""))</f>
        <v/>
      </c>
      <c r="K78" s="48">
        <f>IF($J78="","",IFERROR($J78*'Assumptions'!$B$12,""))</f>
        <v/>
      </c>
      <c r="L78" s="48">
        <f>IF($J78="","",IFERROR('Assumptions'!$B$13*(1+'Assumptions'!$B$14)^(($A78-1)/12),""))</f>
        <v/>
      </c>
      <c r="M78" s="48">
        <f>IF($J78="","",IFERROR('Assumptions'!$B$15,""))</f>
        <v/>
      </c>
      <c r="N78" s="48">
        <f>IF($J78="","",IFERROR($J78-SUM($K78:$M78),""))</f>
        <v/>
      </c>
      <c r="O78" s="48">
        <f>IF($N78="","",IFERROR('Assumptions'!$B$16,""))</f>
        <v/>
      </c>
      <c r="P78" s="48">
        <f>IF($N78="","",IFERROR($N78-$O78,""))</f>
        <v/>
      </c>
      <c r="Q78" s="9">
        <f>IF($A78="","",IF($C78=0,"Review",IF(OR($E78&lt;'Assumptions'!$B$18,$P78&lt;'Assumptions'!$B$17),"Review","OK")))</f>
        <v/>
      </c>
    </row>
    <row r="79">
      <c r="A79" s="31">
        <f>IF(75&lt;='Assumptions'!$B$6,75,"")</f>
        <v/>
      </c>
      <c r="B79" s="61">
        <f>IF($A79="","",IFERROR(EDATE('Assumptions'!$B$5,$A79-1),""))</f>
        <v/>
      </c>
      <c r="C79" s="31">
        <f>IF($A79="","",IFERROR(SUMIFS('Unit Mix'!$D$5:$D$104,'Unit Mix'!$A$5:$A$104,'Assumptions'!$B$4,'Unit Mix'!$I$5:$I$104,"Included"),""))</f>
        <v/>
      </c>
      <c r="D79" s="62">
        <f>IF(OR($A79="",$C79=0),"",IFERROR(SUMPRODUCT(('Unit Mix'!$A$5:$A$104='Assumptions'!$B$4)*('Unit Mix'!$I$5:$I$104="Included")*'Unit Mix'!$D$5:$D$104*('Unit Mix'!$F$5:$F$104+MIN(1,IFERROR(($A79-1)/'Assumptions'!$B$8,0))*('Unit Mix'!$G$5:$G$104-'Unit Mix'!$F$5:$F$104))),""))</f>
        <v/>
      </c>
      <c r="E79" s="49">
        <f>IF(OR($A79="",$C79=0),"",IFERROR($D79/$C79,""))</f>
        <v/>
      </c>
      <c r="F79" s="50">
        <f>IF(OR($A79="",$C79=0),"",IFERROR(SUMPRODUCT(('Unit Mix'!$A$5:$A$104='Assumptions'!$B$4)*('Unit Mix'!$I$5:$I$104="Included")*'Unit Mix'!$D$5:$D$104*'Unit Mix'!$E$5:$E$104)*(1+'Assumptions'!$B$7)^(($A79-1)/12),""))</f>
        <v/>
      </c>
      <c r="G79" s="50">
        <f>IF(OR($A79="",$C79=0),"",IFERROR(SUMPRODUCT(('Unit Mix'!$A$5:$A$104='Assumptions'!$B$4)*('Unit Mix'!$I$5:$I$104="Included")*'Unit Mix'!$D$5:$D$104*'Unit Mix'!$E$5:$E$104*('Unit Mix'!$F$5:$F$104+MIN(1,IFERROR(($A79-1)/'Assumptions'!$B$8,0))*('Unit Mix'!$G$5:$G$104-'Unit Mix'!$F$5:$F$104)))*(1+'Assumptions'!$B$7)^(($A79-1)/12),""))</f>
        <v/>
      </c>
      <c r="H79" s="50">
        <f>IF($G79="","",IFERROR($D79*'Assumptions'!$B$9*(1+'Assumptions'!$B$10)^(($A79-1)/12),""))</f>
        <v/>
      </c>
      <c r="I79" s="50">
        <f>IF($G79="","",IFERROR($G79*'Assumptions'!$B$11,""))</f>
        <v/>
      </c>
      <c r="J79" s="50">
        <f>IF($G79="","",IFERROR(SUM($G79:$I79),""))</f>
        <v/>
      </c>
      <c r="K79" s="50">
        <f>IF($J79="","",IFERROR($J79*'Assumptions'!$B$12,""))</f>
        <v/>
      </c>
      <c r="L79" s="50">
        <f>IF($J79="","",IFERROR('Assumptions'!$B$13*(1+'Assumptions'!$B$14)^(($A79-1)/12),""))</f>
        <v/>
      </c>
      <c r="M79" s="50">
        <f>IF($J79="","",IFERROR('Assumptions'!$B$15,""))</f>
        <v/>
      </c>
      <c r="N79" s="50">
        <f>IF($J79="","",IFERROR($J79-SUM($K79:$M79),""))</f>
        <v/>
      </c>
      <c r="O79" s="50">
        <f>IF($N79="","",IFERROR('Assumptions'!$B$16,""))</f>
        <v/>
      </c>
      <c r="P79" s="50">
        <f>IF($N79="","",IFERROR($N79-$O79,""))</f>
        <v/>
      </c>
      <c r="Q79" s="13">
        <f>IF($A79="","",IF($C79=0,"Review",IF(OR($E79&lt;'Assumptions'!$B$18,$P79&lt;'Assumptions'!$B$17),"Review","OK")))</f>
        <v/>
      </c>
    </row>
    <row r="80">
      <c r="A80" s="34">
        <f>IF(76&lt;='Assumptions'!$B$6,76,"")</f>
        <v/>
      </c>
      <c r="B80" s="63">
        <f>IF($A80="","",IFERROR(EDATE('Assumptions'!$B$5,$A80-1),""))</f>
        <v/>
      </c>
      <c r="C80" s="34">
        <f>IF($A80="","",IFERROR(SUMIFS('Unit Mix'!$D$5:$D$104,'Unit Mix'!$A$5:$A$104,'Assumptions'!$B$4,'Unit Mix'!$I$5:$I$104,"Included"),""))</f>
        <v/>
      </c>
      <c r="D80" s="64">
        <f>IF(OR($A80="",$C80=0),"",IFERROR(SUMPRODUCT(('Unit Mix'!$A$5:$A$104='Assumptions'!$B$4)*('Unit Mix'!$I$5:$I$104="Included")*'Unit Mix'!$D$5:$D$104*('Unit Mix'!$F$5:$F$104+MIN(1,IFERROR(($A80-1)/'Assumptions'!$B$8,0))*('Unit Mix'!$G$5:$G$104-'Unit Mix'!$F$5:$F$104))),""))</f>
        <v/>
      </c>
      <c r="E80" s="47">
        <f>IF(OR($A80="",$C80=0),"",IFERROR($D80/$C80,""))</f>
        <v/>
      </c>
      <c r="F80" s="48">
        <f>IF(OR($A80="",$C80=0),"",IFERROR(SUMPRODUCT(('Unit Mix'!$A$5:$A$104='Assumptions'!$B$4)*('Unit Mix'!$I$5:$I$104="Included")*'Unit Mix'!$D$5:$D$104*'Unit Mix'!$E$5:$E$104)*(1+'Assumptions'!$B$7)^(($A80-1)/12),""))</f>
        <v/>
      </c>
      <c r="G80" s="48">
        <f>IF(OR($A80="",$C80=0),"",IFERROR(SUMPRODUCT(('Unit Mix'!$A$5:$A$104='Assumptions'!$B$4)*('Unit Mix'!$I$5:$I$104="Included")*'Unit Mix'!$D$5:$D$104*'Unit Mix'!$E$5:$E$104*('Unit Mix'!$F$5:$F$104+MIN(1,IFERROR(($A80-1)/'Assumptions'!$B$8,0))*('Unit Mix'!$G$5:$G$104-'Unit Mix'!$F$5:$F$104)))*(1+'Assumptions'!$B$7)^(($A80-1)/12),""))</f>
        <v/>
      </c>
      <c r="H80" s="48">
        <f>IF($G80="","",IFERROR($D80*'Assumptions'!$B$9*(1+'Assumptions'!$B$10)^(($A80-1)/12),""))</f>
        <v/>
      </c>
      <c r="I80" s="48">
        <f>IF($G80="","",IFERROR($G80*'Assumptions'!$B$11,""))</f>
        <v/>
      </c>
      <c r="J80" s="48">
        <f>IF($G80="","",IFERROR(SUM($G80:$I80),""))</f>
        <v/>
      </c>
      <c r="K80" s="48">
        <f>IF($J80="","",IFERROR($J80*'Assumptions'!$B$12,""))</f>
        <v/>
      </c>
      <c r="L80" s="48">
        <f>IF($J80="","",IFERROR('Assumptions'!$B$13*(1+'Assumptions'!$B$14)^(($A80-1)/12),""))</f>
        <v/>
      </c>
      <c r="M80" s="48">
        <f>IF($J80="","",IFERROR('Assumptions'!$B$15,""))</f>
        <v/>
      </c>
      <c r="N80" s="48">
        <f>IF($J80="","",IFERROR($J80-SUM($K80:$M80),""))</f>
        <v/>
      </c>
      <c r="O80" s="48">
        <f>IF($N80="","",IFERROR('Assumptions'!$B$16,""))</f>
        <v/>
      </c>
      <c r="P80" s="48">
        <f>IF($N80="","",IFERROR($N80-$O80,""))</f>
        <v/>
      </c>
      <c r="Q80" s="9">
        <f>IF($A80="","",IF($C80=0,"Review",IF(OR($E80&lt;'Assumptions'!$B$18,$P80&lt;'Assumptions'!$B$17),"Review","OK")))</f>
        <v/>
      </c>
    </row>
    <row r="81">
      <c r="A81" s="31">
        <f>IF(77&lt;='Assumptions'!$B$6,77,"")</f>
        <v/>
      </c>
      <c r="B81" s="61">
        <f>IF($A81="","",IFERROR(EDATE('Assumptions'!$B$5,$A81-1),""))</f>
        <v/>
      </c>
      <c r="C81" s="31">
        <f>IF($A81="","",IFERROR(SUMIFS('Unit Mix'!$D$5:$D$104,'Unit Mix'!$A$5:$A$104,'Assumptions'!$B$4,'Unit Mix'!$I$5:$I$104,"Included"),""))</f>
        <v/>
      </c>
      <c r="D81" s="62">
        <f>IF(OR($A81="",$C81=0),"",IFERROR(SUMPRODUCT(('Unit Mix'!$A$5:$A$104='Assumptions'!$B$4)*('Unit Mix'!$I$5:$I$104="Included")*'Unit Mix'!$D$5:$D$104*('Unit Mix'!$F$5:$F$104+MIN(1,IFERROR(($A81-1)/'Assumptions'!$B$8,0))*('Unit Mix'!$G$5:$G$104-'Unit Mix'!$F$5:$F$104))),""))</f>
        <v/>
      </c>
      <c r="E81" s="49">
        <f>IF(OR($A81="",$C81=0),"",IFERROR($D81/$C81,""))</f>
        <v/>
      </c>
      <c r="F81" s="50">
        <f>IF(OR($A81="",$C81=0),"",IFERROR(SUMPRODUCT(('Unit Mix'!$A$5:$A$104='Assumptions'!$B$4)*('Unit Mix'!$I$5:$I$104="Included")*'Unit Mix'!$D$5:$D$104*'Unit Mix'!$E$5:$E$104)*(1+'Assumptions'!$B$7)^(($A81-1)/12),""))</f>
        <v/>
      </c>
      <c r="G81" s="50">
        <f>IF(OR($A81="",$C81=0),"",IFERROR(SUMPRODUCT(('Unit Mix'!$A$5:$A$104='Assumptions'!$B$4)*('Unit Mix'!$I$5:$I$104="Included")*'Unit Mix'!$D$5:$D$104*'Unit Mix'!$E$5:$E$104*('Unit Mix'!$F$5:$F$104+MIN(1,IFERROR(($A81-1)/'Assumptions'!$B$8,0))*('Unit Mix'!$G$5:$G$104-'Unit Mix'!$F$5:$F$104)))*(1+'Assumptions'!$B$7)^(($A81-1)/12),""))</f>
        <v/>
      </c>
      <c r="H81" s="50">
        <f>IF($G81="","",IFERROR($D81*'Assumptions'!$B$9*(1+'Assumptions'!$B$10)^(($A81-1)/12),""))</f>
        <v/>
      </c>
      <c r="I81" s="50">
        <f>IF($G81="","",IFERROR($G81*'Assumptions'!$B$11,""))</f>
        <v/>
      </c>
      <c r="J81" s="50">
        <f>IF($G81="","",IFERROR(SUM($G81:$I81),""))</f>
        <v/>
      </c>
      <c r="K81" s="50">
        <f>IF($J81="","",IFERROR($J81*'Assumptions'!$B$12,""))</f>
        <v/>
      </c>
      <c r="L81" s="50">
        <f>IF($J81="","",IFERROR('Assumptions'!$B$13*(1+'Assumptions'!$B$14)^(($A81-1)/12),""))</f>
        <v/>
      </c>
      <c r="M81" s="50">
        <f>IF($J81="","",IFERROR('Assumptions'!$B$15,""))</f>
        <v/>
      </c>
      <c r="N81" s="50">
        <f>IF($J81="","",IFERROR($J81-SUM($K81:$M81),""))</f>
        <v/>
      </c>
      <c r="O81" s="50">
        <f>IF($N81="","",IFERROR('Assumptions'!$B$16,""))</f>
        <v/>
      </c>
      <c r="P81" s="50">
        <f>IF($N81="","",IFERROR($N81-$O81,""))</f>
        <v/>
      </c>
      <c r="Q81" s="13">
        <f>IF($A81="","",IF($C81=0,"Review",IF(OR($E81&lt;'Assumptions'!$B$18,$P81&lt;'Assumptions'!$B$17),"Review","OK")))</f>
        <v/>
      </c>
    </row>
    <row r="82">
      <c r="A82" s="34">
        <f>IF(78&lt;='Assumptions'!$B$6,78,"")</f>
        <v/>
      </c>
      <c r="B82" s="63">
        <f>IF($A82="","",IFERROR(EDATE('Assumptions'!$B$5,$A82-1),""))</f>
        <v/>
      </c>
      <c r="C82" s="34">
        <f>IF($A82="","",IFERROR(SUMIFS('Unit Mix'!$D$5:$D$104,'Unit Mix'!$A$5:$A$104,'Assumptions'!$B$4,'Unit Mix'!$I$5:$I$104,"Included"),""))</f>
        <v/>
      </c>
      <c r="D82" s="64">
        <f>IF(OR($A82="",$C82=0),"",IFERROR(SUMPRODUCT(('Unit Mix'!$A$5:$A$104='Assumptions'!$B$4)*('Unit Mix'!$I$5:$I$104="Included")*'Unit Mix'!$D$5:$D$104*('Unit Mix'!$F$5:$F$104+MIN(1,IFERROR(($A82-1)/'Assumptions'!$B$8,0))*('Unit Mix'!$G$5:$G$104-'Unit Mix'!$F$5:$F$104))),""))</f>
        <v/>
      </c>
      <c r="E82" s="47">
        <f>IF(OR($A82="",$C82=0),"",IFERROR($D82/$C82,""))</f>
        <v/>
      </c>
      <c r="F82" s="48">
        <f>IF(OR($A82="",$C82=0),"",IFERROR(SUMPRODUCT(('Unit Mix'!$A$5:$A$104='Assumptions'!$B$4)*('Unit Mix'!$I$5:$I$104="Included")*'Unit Mix'!$D$5:$D$104*'Unit Mix'!$E$5:$E$104)*(1+'Assumptions'!$B$7)^(($A82-1)/12),""))</f>
        <v/>
      </c>
      <c r="G82" s="48">
        <f>IF(OR($A82="",$C82=0),"",IFERROR(SUMPRODUCT(('Unit Mix'!$A$5:$A$104='Assumptions'!$B$4)*('Unit Mix'!$I$5:$I$104="Included")*'Unit Mix'!$D$5:$D$104*'Unit Mix'!$E$5:$E$104*('Unit Mix'!$F$5:$F$104+MIN(1,IFERROR(($A82-1)/'Assumptions'!$B$8,0))*('Unit Mix'!$G$5:$G$104-'Unit Mix'!$F$5:$F$104)))*(1+'Assumptions'!$B$7)^(($A82-1)/12),""))</f>
        <v/>
      </c>
      <c r="H82" s="48">
        <f>IF($G82="","",IFERROR($D82*'Assumptions'!$B$9*(1+'Assumptions'!$B$10)^(($A82-1)/12),""))</f>
        <v/>
      </c>
      <c r="I82" s="48">
        <f>IF($G82="","",IFERROR($G82*'Assumptions'!$B$11,""))</f>
        <v/>
      </c>
      <c r="J82" s="48">
        <f>IF($G82="","",IFERROR(SUM($G82:$I82),""))</f>
        <v/>
      </c>
      <c r="K82" s="48">
        <f>IF($J82="","",IFERROR($J82*'Assumptions'!$B$12,""))</f>
        <v/>
      </c>
      <c r="L82" s="48">
        <f>IF($J82="","",IFERROR('Assumptions'!$B$13*(1+'Assumptions'!$B$14)^(($A82-1)/12),""))</f>
        <v/>
      </c>
      <c r="M82" s="48">
        <f>IF($J82="","",IFERROR('Assumptions'!$B$15,""))</f>
        <v/>
      </c>
      <c r="N82" s="48">
        <f>IF($J82="","",IFERROR($J82-SUM($K82:$M82),""))</f>
        <v/>
      </c>
      <c r="O82" s="48">
        <f>IF($N82="","",IFERROR('Assumptions'!$B$16,""))</f>
        <v/>
      </c>
      <c r="P82" s="48">
        <f>IF($N82="","",IFERROR($N82-$O82,""))</f>
        <v/>
      </c>
      <c r="Q82" s="9">
        <f>IF($A82="","",IF($C82=0,"Review",IF(OR($E82&lt;'Assumptions'!$B$18,$P82&lt;'Assumptions'!$B$17),"Review","OK")))</f>
        <v/>
      </c>
    </row>
    <row r="83">
      <c r="A83" s="31">
        <f>IF(79&lt;='Assumptions'!$B$6,79,"")</f>
        <v/>
      </c>
      <c r="B83" s="61">
        <f>IF($A83="","",IFERROR(EDATE('Assumptions'!$B$5,$A83-1),""))</f>
        <v/>
      </c>
      <c r="C83" s="31">
        <f>IF($A83="","",IFERROR(SUMIFS('Unit Mix'!$D$5:$D$104,'Unit Mix'!$A$5:$A$104,'Assumptions'!$B$4,'Unit Mix'!$I$5:$I$104,"Included"),""))</f>
        <v/>
      </c>
      <c r="D83" s="62">
        <f>IF(OR($A83="",$C83=0),"",IFERROR(SUMPRODUCT(('Unit Mix'!$A$5:$A$104='Assumptions'!$B$4)*('Unit Mix'!$I$5:$I$104="Included")*'Unit Mix'!$D$5:$D$104*('Unit Mix'!$F$5:$F$104+MIN(1,IFERROR(($A83-1)/'Assumptions'!$B$8,0))*('Unit Mix'!$G$5:$G$104-'Unit Mix'!$F$5:$F$104))),""))</f>
        <v/>
      </c>
      <c r="E83" s="49">
        <f>IF(OR($A83="",$C83=0),"",IFERROR($D83/$C83,""))</f>
        <v/>
      </c>
      <c r="F83" s="50">
        <f>IF(OR($A83="",$C83=0),"",IFERROR(SUMPRODUCT(('Unit Mix'!$A$5:$A$104='Assumptions'!$B$4)*('Unit Mix'!$I$5:$I$104="Included")*'Unit Mix'!$D$5:$D$104*'Unit Mix'!$E$5:$E$104)*(1+'Assumptions'!$B$7)^(($A83-1)/12),""))</f>
        <v/>
      </c>
      <c r="G83" s="50">
        <f>IF(OR($A83="",$C83=0),"",IFERROR(SUMPRODUCT(('Unit Mix'!$A$5:$A$104='Assumptions'!$B$4)*('Unit Mix'!$I$5:$I$104="Included")*'Unit Mix'!$D$5:$D$104*'Unit Mix'!$E$5:$E$104*('Unit Mix'!$F$5:$F$104+MIN(1,IFERROR(($A83-1)/'Assumptions'!$B$8,0))*('Unit Mix'!$G$5:$G$104-'Unit Mix'!$F$5:$F$104)))*(1+'Assumptions'!$B$7)^(($A83-1)/12),""))</f>
        <v/>
      </c>
      <c r="H83" s="50">
        <f>IF($G83="","",IFERROR($D83*'Assumptions'!$B$9*(1+'Assumptions'!$B$10)^(($A83-1)/12),""))</f>
        <v/>
      </c>
      <c r="I83" s="50">
        <f>IF($G83="","",IFERROR($G83*'Assumptions'!$B$11,""))</f>
        <v/>
      </c>
      <c r="J83" s="50">
        <f>IF($G83="","",IFERROR(SUM($G83:$I83),""))</f>
        <v/>
      </c>
      <c r="K83" s="50">
        <f>IF($J83="","",IFERROR($J83*'Assumptions'!$B$12,""))</f>
        <v/>
      </c>
      <c r="L83" s="50">
        <f>IF($J83="","",IFERROR('Assumptions'!$B$13*(1+'Assumptions'!$B$14)^(($A83-1)/12),""))</f>
        <v/>
      </c>
      <c r="M83" s="50">
        <f>IF($J83="","",IFERROR('Assumptions'!$B$15,""))</f>
        <v/>
      </c>
      <c r="N83" s="50">
        <f>IF($J83="","",IFERROR($J83-SUM($K83:$M83),""))</f>
        <v/>
      </c>
      <c r="O83" s="50">
        <f>IF($N83="","",IFERROR('Assumptions'!$B$16,""))</f>
        <v/>
      </c>
      <c r="P83" s="50">
        <f>IF($N83="","",IFERROR($N83-$O83,""))</f>
        <v/>
      </c>
      <c r="Q83" s="13">
        <f>IF($A83="","",IF($C83=0,"Review",IF(OR($E83&lt;'Assumptions'!$B$18,$P83&lt;'Assumptions'!$B$17),"Review","OK")))</f>
        <v/>
      </c>
    </row>
    <row r="84">
      <c r="A84" s="34">
        <f>IF(80&lt;='Assumptions'!$B$6,80,"")</f>
        <v/>
      </c>
      <c r="B84" s="63">
        <f>IF($A84="","",IFERROR(EDATE('Assumptions'!$B$5,$A84-1),""))</f>
        <v/>
      </c>
      <c r="C84" s="34">
        <f>IF($A84="","",IFERROR(SUMIFS('Unit Mix'!$D$5:$D$104,'Unit Mix'!$A$5:$A$104,'Assumptions'!$B$4,'Unit Mix'!$I$5:$I$104,"Included"),""))</f>
        <v/>
      </c>
      <c r="D84" s="64">
        <f>IF(OR($A84="",$C84=0),"",IFERROR(SUMPRODUCT(('Unit Mix'!$A$5:$A$104='Assumptions'!$B$4)*('Unit Mix'!$I$5:$I$104="Included")*'Unit Mix'!$D$5:$D$104*('Unit Mix'!$F$5:$F$104+MIN(1,IFERROR(($A84-1)/'Assumptions'!$B$8,0))*('Unit Mix'!$G$5:$G$104-'Unit Mix'!$F$5:$F$104))),""))</f>
        <v/>
      </c>
      <c r="E84" s="47">
        <f>IF(OR($A84="",$C84=0),"",IFERROR($D84/$C84,""))</f>
        <v/>
      </c>
      <c r="F84" s="48">
        <f>IF(OR($A84="",$C84=0),"",IFERROR(SUMPRODUCT(('Unit Mix'!$A$5:$A$104='Assumptions'!$B$4)*('Unit Mix'!$I$5:$I$104="Included")*'Unit Mix'!$D$5:$D$104*'Unit Mix'!$E$5:$E$104)*(1+'Assumptions'!$B$7)^(($A84-1)/12),""))</f>
        <v/>
      </c>
      <c r="G84" s="48">
        <f>IF(OR($A84="",$C84=0),"",IFERROR(SUMPRODUCT(('Unit Mix'!$A$5:$A$104='Assumptions'!$B$4)*('Unit Mix'!$I$5:$I$104="Included")*'Unit Mix'!$D$5:$D$104*'Unit Mix'!$E$5:$E$104*('Unit Mix'!$F$5:$F$104+MIN(1,IFERROR(($A84-1)/'Assumptions'!$B$8,0))*('Unit Mix'!$G$5:$G$104-'Unit Mix'!$F$5:$F$104)))*(1+'Assumptions'!$B$7)^(($A84-1)/12),""))</f>
        <v/>
      </c>
      <c r="H84" s="48">
        <f>IF($G84="","",IFERROR($D84*'Assumptions'!$B$9*(1+'Assumptions'!$B$10)^(($A84-1)/12),""))</f>
        <v/>
      </c>
      <c r="I84" s="48">
        <f>IF($G84="","",IFERROR($G84*'Assumptions'!$B$11,""))</f>
        <v/>
      </c>
      <c r="J84" s="48">
        <f>IF($G84="","",IFERROR(SUM($G84:$I84),""))</f>
        <v/>
      </c>
      <c r="K84" s="48">
        <f>IF($J84="","",IFERROR($J84*'Assumptions'!$B$12,""))</f>
        <v/>
      </c>
      <c r="L84" s="48">
        <f>IF($J84="","",IFERROR('Assumptions'!$B$13*(1+'Assumptions'!$B$14)^(($A84-1)/12),""))</f>
        <v/>
      </c>
      <c r="M84" s="48">
        <f>IF($J84="","",IFERROR('Assumptions'!$B$15,""))</f>
        <v/>
      </c>
      <c r="N84" s="48">
        <f>IF($J84="","",IFERROR($J84-SUM($K84:$M84),""))</f>
        <v/>
      </c>
      <c r="O84" s="48">
        <f>IF($N84="","",IFERROR('Assumptions'!$B$16,""))</f>
        <v/>
      </c>
      <c r="P84" s="48">
        <f>IF($N84="","",IFERROR($N84-$O84,""))</f>
        <v/>
      </c>
      <c r="Q84" s="9">
        <f>IF($A84="","",IF($C84=0,"Review",IF(OR($E84&lt;'Assumptions'!$B$18,$P84&lt;'Assumptions'!$B$17),"Review","OK")))</f>
        <v/>
      </c>
    </row>
    <row r="85">
      <c r="A85" s="31">
        <f>IF(81&lt;='Assumptions'!$B$6,81,"")</f>
        <v/>
      </c>
      <c r="B85" s="61">
        <f>IF($A85="","",IFERROR(EDATE('Assumptions'!$B$5,$A85-1),""))</f>
        <v/>
      </c>
      <c r="C85" s="31">
        <f>IF($A85="","",IFERROR(SUMIFS('Unit Mix'!$D$5:$D$104,'Unit Mix'!$A$5:$A$104,'Assumptions'!$B$4,'Unit Mix'!$I$5:$I$104,"Included"),""))</f>
        <v/>
      </c>
      <c r="D85" s="62">
        <f>IF(OR($A85="",$C85=0),"",IFERROR(SUMPRODUCT(('Unit Mix'!$A$5:$A$104='Assumptions'!$B$4)*('Unit Mix'!$I$5:$I$104="Included")*'Unit Mix'!$D$5:$D$104*('Unit Mix'!$F$5:$F$104+MIN(1,IFERROR(($A85-1)/'Assumptions'!$B$8,0))*('Unit Mix'!$G$5:$G$104-'Unit Mix'!$F$5:$F$104))),""))</f>
        <v/>
      </c>
      <c r="E85" s="49">
        <f>IF(OR($A85="",$C85=0),"",IFERROR($D85/$C85,""))</f>
        <v/>
      </c>
      <c r="F85" s="50">
        <f>IF(OR($A85="",$C85=0),"",IFERROR(SUMPRODUCT(('Unit Mix'!$A$5:$A$104='Assumptions'!$B$4)*('Unit Mix'!$I$5:$I$104="Included")*'Unit Mix'!$D$5:$D$104*'Unit Mix'!$E$5:$E$104)*(1+'Assumptions'!$B$7)^(($A85-1)/12),""))</f>
        <v/>
      </c>
      <c r="G85" s="50">
        <f>IF(OR($A85="",$C85=0),"",IFERROR(SUMPRODUCT(('Unit Mix'!$A$5:$A$104='Assumptions'!$B$4)*('Unit Mix'!$I$5:$I$104="Included")*'Unit Mix'!$D$5:$D$104*'Unit Mix'!$E$5:$E$104*('Unit Mix'!$F$5:$F$104+MIN(1,IFERROR(($A85-1)/'Assumptions'!$B$8,0))*('Unit Mix'!$G$5:$G$104-'Unit Mix'!$F$5:$F$104)))*(1+'Assumptions'!$B$7)^(($A85-1)/12),""))</f>
        <v/>
      </c>
      <c r="H85" s="50">
        <f>IF($G85="","",IFERROR($D85*'Assumptions'!$B$9*(1+'Assumptions'!$B$10)^(($A85-1)/12),""))</f>
        <v/>
      </c>
      <c r="I85" s="50">
        <f>IF($G85="","",IFERROR($G85*'Assumptions'!$B$11,""))</f>
        <v/>
      </c>
      <c r="J85" s="50">
        <f>IF($G85="","",IFERROR(SUM($G85:$I85),""))</f>
        <v/>
      </c>
      <c r="K85" s="50">
        <f>IF($J85="","",IFERROR($J85*'Assumptions'!$B$12,""))</f>
        <v/>
      </c>
      <c r="L85" s="50">
        <f>IF($J85="","",IFERROR('Assumptions'!$B$13*(1+'Assumptions'!$B$14)^(($A85-1)/12),""))</f>
        <v/>
      </c>
      <c r="M85" s="50">
        <f>IF($J85="","",IFERROR('Assumptions'!$B$15,""))</f>
        <v/>
      </c>
      <c r="N85" s="50">
        <f>IF($J85="","",IFERROR($J85-SUM($K85:$M85),""))</f>
        <v/>
      </c>
      <c r="O85" s="50">
        <f>IF($N85="","",IFERROR('Assumptions'!$B$16,""))</f>
        <v/>
      </c>
      <c r="P85" s="50">
        <f>IF($N85="","",IFERROR($N85-$O85,""))</f>
        <v/>
      </c>
      <c r="Q85" s="13">
        <f>IF($A85="","",IF($C85=0,"Review",IF(OR($E85&lt;'Assumptions'!$B$18,$P85&lt;'Assumptions'!$B$17),"Review","OK")))</f>
        <v/>
      </c>
    </row>
    <row r="86">
      <c r="A86" s="34">
        <f>IF(82&lt;='Assumptions'!$B$6,82,"")</f>
        <v/>
      </c>
      <c r="B86" s="63">
        <f>IF($A86="","",IFERROR(EDATE('Assumptions'!$B$5,$A86-1),""))</f>
        <v/>
      </c>
      <c r="C86" s="34">
        <f>IF($A86="","",IFERROR(SUMIFS('Unit Mix'!$D$5:$D$104,'Unit Mix'!$A$5:$A$104,'Assumptions'!$B$4,'Unit Mix'!$I$5:$I$104,"Included"),""))</f>
        <v/>
      </c>
      <c r="D86" s="64">
        <f>IF(OR($A86="",$C86=0),"",IFERROR(SUMPRODUCT(('Unit Mix'!$A$5:$A$104='Assumptions'!$B$4)*('Unit Mix'!$I$5:$I$104="Included")*'Unit Mix'!$D$5:$D$104*('Unit Mix'!$F$5:$F$104+MIN(1,IFERROR(($A86-1)/'Assumptions'!$B$8,0))*('Unit Mix'!$G$5:$G$104-'Unit Mix'!$F$5:$F$104))),""))</f>
        <v/>
      </c>
      <c r="E86" s="47">
        <f>IF(OR($A86="",$C86=0),"",IFERROR($D86/$C86,""))</f>
        <v/>
      </c>
      <c r="F86" s="48">
        <f>IF(OR($A86="",$C86=0),"",IFERROR(SUMPRODUCT(('Unit Mix'!$A$5:$A$104='Assumptions'!$B$4)*('Unit Mix'!$I$5:$I$104="Included")*'Unit Mix'!$D$5:$D$104*'Unit Mix'!$E$5:$E$104)*(1+'Assumptions'!$B$7)^(($A86-1)/12),""))</f>
        <v/>
      </c>
      <c r="G86" s="48">
        <f>IF(OR($A86="",$C86=0),"",IFERROR(SUMPRODUCT(('Unit Mix'!$A$5:$A$104='Assumptions'!$B$4)*('Unit Mix'!$I$5:$I$104="Included")*'Unit Mix'!$D$5:$D$104*'Unit Mix'!$E$5:$E$104*('Unit Mix'!$F$5:$F$104+MIN(1,IFERROR(($A86-1)/'Assumptions'!$B$8,0))*('Unit Mix'!$G$5:$G$104-'Unit Mix'!$F$5:$F$104)))*(1+'Assumptions'!$B$7)^(($A86-1)/12),""))</f>
        <v/>
      </c>
      <c r="H86" s="48">
        <f>IF($G86="","",IFERROR($D86*'Assumptions'!$B$9*(1+'Assumptions'!$B$10)^(($A86-1)/12),""))</f>
        <v/>
      </c>
      <c r="I86" s="48">
        <f>IF($G86="","",IFERROR($G86*'Assumptions'!$B$11,""))</f>
        <v/>
      </c>
      <c r="J86" s="48">
        <f>IF($G86="","",IFERROR(SUM($G86:$I86),""))</f>
        <v/>
      </c>
      <c r="K86" s="48">
        <f>IF($J86="","",IFERROR($J86*'Assumptions'!$B$12,""))</f>
        <v/>
      </c>
      <c r="L86" s="48">
        <f>IF($J86="","",IFERROR('Assumptions'!$B$13*(1+'Assumptions'!$B$14)^(($A86-1)/12),""))</f>
        <v/>
      </c>
      <c r="M86" s="48">
        <f>IF($J86="","",IFERROR('Assumptions'!$B$15,""))</f>
        <v/>
      </c>
      <c r="N86" s="48">
        <f>IF($J86="","",IFERROR($J86-SUM($K86:$M86),""))</f>
        <v/>
      </c>
      <c r="O86" s="48">
        <f>IF($N86="","",IFERROR('Assumptions'!$B$16,""))</f>
        <v/>
      </c>
      <c r="P86" s="48">
        <f>IF($N86="","",IFERROR($N86-$O86,""))</f>
        <v/>
      </c>
      <c r="Q86" s="9">
        <f>IF($A86="","",IF($C86=0,"Review",IF(OR($E86&lt;'Assumptions'!$B$18,$P86&lt;'Assumptions'!$B$17),"Review","OK")))</f>
        <v/>
      </c>
    </row>
    <row r="87">
      <c r="A87" s="31">
        <f>IF(83&lt;='Assumptions'!$B$6,83,"")</f>
        <v/>
      </c>
      <c r="B87" s="61">
        <f>IF($A87="","",IFERROR(EDATE('Assumptions'!$B$5,$A87-1),""))</f>
        <v/>
      </c>
      <c r="C87" s="31">
        <f>IF($A87="","",IFERROR(SUMIFS('Unit Mix'!$D$5:$D$104,'Unit Mix'!$A$5:$A$104,'Assumptions'!$B$4,'Unit Mix'!$I$5:$I$104,"Included"),""))</f>
        <v/>
      </c>
      <c r="D87" s="62">
        <f>IF(OR($A87="",$C87=0),"",IFERROR(SUMPRODUCT(('Unit Mix'!$A$5:$A$104='Assumptions'!$B$4)*('Unit Mix'!$I$5:$I$104="Included")*'Unit Mix'!$D$5:$D$104*('Unit Mix'!$F$5:$F$104+MIN(1,IFERROR(($A87-1)/'Assumptions'!$B$8,0))*('Unit Mix'!$G$5:$G$104-'Unit Mix'!$F$5:$F$104))),""))</f>
        <v/>
      </c>
      <c r="E87" s="49">
        <f>IF(OR($A87="",$C87=0),"",IFERROR($D87/$C87,""))</f>
        <v/>
      </c>
      <c r="F87" s="50">
        <f>IF(OR($A87="",$C87=0),"",IFERROR(SUMPRODUCT(('Unit Mix'!$A$5:$A$104='Assumptions'!$B$4)*('Unit Mix'!$I$5:$I$104="Included")*'Unit Mix'!$D$5:$D$104*'Unit Mix'!$E$5:$E$104)*(1+'Assumptions'!$B$7)^(($A87-1)/12),""))</f>
        <v/>
      </c>
      <c r="G87" s="50">
        <f>IF(OR($A87="",$C87=0),"",IFERROR(SUMPRODUCT(('Unit Mix'!$A$5:$A$104='Assumptions'!$B$4)*('Unit Mix'!$I$5:$I$104="Included")*'Unit Mix'!$D$5:$D$104*'Unit Mix'!$E$5:$E$104*('Unit Mix'!$F$5:$F$104+MIN(1,IFERROR(($A87-1)/'Assumptions'!$B$8,0))*('Unit Mix'!$G$5:$G$104-'Unit Mix'!$F$5:$F$104)))*(1+'Assumptions'!$B$7)^(($A87-1)/12),""))</f>
        <v/>
      </c>
      <c r="H87" s="50">
        <f>IF($G87="","",IFERROR($D87*'Assumptions'!$B$9*(1+'Assumptions'!$B$10)^(($A87-1)/12),""))</f>
        <v/>
      </c>
      <c r="I87" s="50">
        <f>IF($G87="","",IFERROR($G87*'Assumptions'!$B$11,""))</f>
        <v/>
      </c>
      <c r="J87" s="50">
        <f>IF($G87="","",IFERROR(SUM($G87:$I87),""))</f>
        <v/>
      </c>
      <c r="K87" s="50">
        <f>IF($J87="","",IFERROR($J87*'Assumptions'!$B$12,""))</f>
        <v/>
      </c>
      <c r="L87" s="50">
        <f>IF($J87="","",IFERROR('Assumptions'!$B$13*(1+'Assumptions'!$B$14)^(($A87-1)/12),""))</f>
        <v/>
      </c>
      <c r="M87" s="50">
        <f>IF($J87="","",IFERROR('Assumptions'!$B$15,""))</f>
        <v/>
      </c>
      <c r="N87" s="50">
        <f>IF($J87="","",IFERROR($J87-SUM($K87:$M87),""))</f>
        <v/>
      </c>
      <c r="O87" s="50">
        <f>IF($N87="","",IFERROR('Assumptions'!$B$16,""))</f>
        <v/>
      </c>
      <c r="P87" s="50">
        <f>IF($N87="","",IFERROR($N87-$O87,""))</f>
        <v/>
      </c>
      <c r="Q87" s="13">
        <f>IF($A87="","",IF($C87=0,"Review",IF(OR($E87&lt;'Assumptions'!$B$18,$P87&lt;'Assumptions'!$B$17),"Review","OK")))</f>
        <v/>
      </c>
    </row>
    <row r="88">
      <c r="A88" s="34">
        <f>IF(84&lt;='Assumptions'!$B$6,84,"")</f>
        <v/>
      </c>
      <c r="B88" s="63">
        <f>IF($A88="","",IFERROR(EDATE('Assumptions'!$B$5,$A88-1),""))</f>
        <v/>
      </c>
      <c r="C88" s="34">
        <f>IF($A88="","",IFERROR(SUMIFS('Unit Mix'!$D$5:$D$104,'Unit Mix'!$A$5:$A$104,'Assumptions'!$B$4,'Unit Mix'!$I$5:$I$104,"Included"),""))</f>
        <v/>
      </c>
      <c r="D88" s="64">
        <f>IF(OR($A88="",$C88=0),"",IFERROR(SUMPRODUCT(('Unit Mix'!$A$5:$A$104='Assumptions'!$B$4)*('Unit Mix'!$I$5:$I$104="Included")*'Unit Mix'!$D$5:$D$104*('Unit Mix'!$F$5:$F$104+MIN(1,IFERROR(($A88-1)/'Assumptions'!$B$8,0))*('Unit Mix'!$G$5:$G$104-'Unit Mix'!$F$5:$F$104))),""))</f>
        <v/>
      </c>
      <c r="E88" s="47">
        <f>IF(OR($A88="",$C88=0),"",IFERROR($D88/$C88,""))</f>
        <v/>
      </c>
      <c r="F88" s="48">
        <f>IF(OR($A88="",$C88=0),"",IFERROR(SUMPRODUCT(('Unit Mix'!$A$5:$A$104='Assumptions'!$B$4)*('Unit Mix'!$I$5:$I$104="Included")*'Unit Mix'!$D$5:$D$104*'Unit Mix'!$E$5:$E$104)*(1+'Assumptions'!$B$7)^(($A88-1)/12),""))</f>
        <v/>
      </c>
      <c r="G88" s="48">
        <f>IF(OR($A88="",$C88=0),"",IFERROR(SUMPRODUCT(('Unit Mix'!$A$5:$A$104='Assumptions'!$B$4)*('Unit Mix'!$I$5:$I$104="Included")*'Unit Mix'!$D$5:$D$104*'Unit Mix'!$E$5:$E$104*('Unit Mix'!$F$5:$F$104+MIN(1,IFERROR(($A88-1)/'Assumptions'!$B$8,0))*('Unit Mix'!$G$5:$G$104-'Unit Mix'!$F$5:$F$104)))*(1+'Assumptions'!$B$7)^(($A88-1)/12),""))</f>
        <v/>
      </c>
      <c r="H88" s="48">
        <f>IF($G88="","",IFERROR($D88*'Assumptions'!$B$9*(1+'Assumptions'!$B$10)^(($A88-1)/12),""))</f>
        <v/>
      </c>
      <c r="I88" s="48">
        <f>IF($G88="","",IFERROR($G88*'Assumptions'!$B$11,""))</f>
        <v/>
      </c>
      <c r="J88" s="48">
        <f>IF($G88="","",IFERROR(SUM($G88:$I88),""))</f>
        <v/>
      </c>
      <c r="K88" s="48">
        <f>IF($J88="","",IFERROR($J88*'Assumptions'!$B$12,""))</f>
        <v/>
      </c>
      <c r="L88" s="48">
        <f>IF($J88="","",IFERROR('Assumptions'!$B$13*(1+'Assumptions'!$B$14)^(($A88-1)/12),""))</f>
        <v/>
      </c>
      <c r="M88" s="48">
        <f>IF($J88="","",IFERROR('Assumptions'!$B$15,""))</f>
        <v/>
      </c>
      <c r="N88" s="48">
        <f>IF($J88="","",IFERROR($J88-SUM($K88:$M88),""))</f>
        <v/>
      </c>
      <c r="O88" s="48">
        <f>IF($N88="","",IFERROR('Assumptions'!$B$16,""))</f>
        <v/>
      </c>
      <c r="P88" s="48">
        <f>IF($N88="","",IFERROR($N88-$O88,""))</f>
        <v/>
      </c>
      <c r="Q88" s="9">
        <f>IF($A88="","",IF($C88=0,"Review",IF(OR($E88&lt;'Assumptions'!$B$18,$P88&lt;'Assumptions'!$B$17),"Review","OK")))</f>
        <v/>
      </c>
    </row>
    <row r="89">
      <c r="A89" s="31">
        <f>IF(85&lt;='Assumptions'!$B$6,85,"")</f>
        <v/>
      </c>
      <c r="B89" s="61">
        <f>IF($A89="","",IFERROR(EDATE('Assumptions'!$B$5,$A89-1),""))</f>
        <v/>
      </c>
      <c r="C89" s="31">
        <f>IF($A89="","",IFERROR(SUMIFS('Unit Mix'!$D$5:$D$104,'Unit Mix'!$A$5:$A$104,'Assumptions'!$B$4,'Unit Mix'!$I$5:$I$104,"Included"),""))</f>
        <v/>
      </c>
      <c r="D89" s="62">
        <f>IF(OR($A89="",$C89=0),"",IFERROR(SUMPRODUCT(('Unit Mix'!$A$5:$A$104='Assumptions'!$B$4)*('Unit Mix'!$I$5:$I$104="Included")*'Unit Mix'!$D$5:$D$104*('Unit Mix'!$F$5:$F$104+MIN(1,IFERROR(($A89-1)/'Assumptions'!$B$8,0))*('Unit Mix'!$G$5:$G$104-'Unit Mix'!$F$5:$F$104))),""))</f>
        <v/>
      </c>
      <c r="E89" s="49">
        <f>IF(OR($A89="",$C89=0),"",IFERROR($D89/$C89,""))</f>
        <v/>
      </c>
      <c r="F89" s="50">
        <f>IF(OR($A89="",$C89=0),"",IFERROR(SUMPRODUCT(('Unit Mix'!$A$5:$A$104='Assumptions'!$B$4)*('Unit Mix'!$I$5:$I$104="Included")*'Unit Mix'!$D$5:$D$104*'Unit Mix'!$E$5:$E$104)*(1+'Assumptions'!$B$7)^(($A89-1)/12),""))</f>
        <v/>
      </c>
      <c r="G89" s="50">
        <f>IF(OR($A89="",$C89=0),"",IFERROR(SUMPRODUCT(('Unit Mix'!$A$5:$A$104='Assumptions'!$B$4)*('Unit Mix'!$I$5:$I$104="Included")*'Unit Mix'!$D$5:$D$104*'Unit Mix'!$E$5:$E$104*('Unit Mix'!$F$5:$F$104+MIN(1,IFERROR(($A89-1)/'Assumptions'!$B$8,0))*('Unit Mix'!$G$5:$G$104-'Unit Mix'!$F$5:$F$104)))*(1+'Assumptions'!$B$7)^(($A89-1)/12),""))</f>
        <v/>
      </c>
      <c r="H89" s="50">
        <f>IF($G89="","",IFERROR($D89*'Assumptions'!$B$9*(1+'Assumptions'!$B$10)^(($A89-1)/12),""))</f>
        <v/>
      </c>
      <c r="I89" s="50">
        <f>IF($G89="","",IFERROR($G89*'Assumptions'!$B$11,""))</f>
        <v/>
      </c>
      <c r="J89" s="50">
        <f>IF($G89="","",IFERROR(SUM($G89:$I89),""))</f>
        <v/>
      </c>
      <c r="K89" s="50">
        <f>IF($J89="","",IFERROR($J89*'Assumptions'!$B$12,""))</f>
        <v/>
      </c>
      <c r="L89" s="50">
        <f>IF($J89="","",IFERROR('Assumptions'!$B$13*(1+'Assumptions'!$B$14)^(($A89-1)/12),""))</f>
        <v/>
      </c>
      <c r="M89" s="50">
        <f>IF($J89="","",IFERROR('Assumptions'!$B$15,""))</f>
        <v/>
      </c>
      <c r="N89" s="50">
        <f>IF($J89="","",IFERROR($J89-SUM($K89:$M89),""))</f>
        <v/>
      </c>
      <c r="O89" s="50">
        <f>IF($N89="","",IFERROR('Assumptions'!$B$16,""))</f>
        <v/>
      </c>
      <c r="P89" s="50">
        <f>IF($N89="","",IFERROR($N89-$O89,""))</f>
        <v/>
      </c>
      <c r="Q89" s="13">
        <f>IF($A89="","",IF($C89=0,"Review",IF(OR($E89&lt;'Assumptions'!$B$18,$P89&lt;'Assumptions'!$B$17),"Review","OK")))</f>
        <v/>
      </c>
    </row>
    <row r="90">
      <c r="A90" s="34">
        <f>IF(86&lt;='Assumptions'!$B$6,86,"")</f>
        <v/>
      </c>
      <c r="B90" s="63">
        <f>IF($A90="","",IFERROR(EDATE('Assumptions'!$B$5,$A90-1),""))</f>
        <v/>
      </c>
      <c r="C90" s="34">
        <f>IF($A90="","",IFERROR(SUMIFS('Unit Mix'!$D$5:$D$104,'Unit Mix'!$A$5:$A$104,'Assumptions'!$B$4,'Unit Mix'!$I$5:$I$104,"Included"),""))</f>
        <v/>
      </c>
      <c r="D90" s="64">
        <f>IF(OR($A90="",$C90=0),"",IFERROR(SUMPRODUCT(('Unit Mix'!$A$5:$A$104='Assumptions'!$B$4)*('Unit Mix'!$I$5:$I$104="Included")*'Unit Mix'!$D$5:$D$104*('Unit Mix'!$F$5:$F$104+MIN(1,IFERROR(($A90-1)/'Assumptions'!$B$8,0))*('Unit Mix'!$G$5:$G$104-'Unit Mix'!$F$5:$F$104))),""))</f>
        <v/>
      </c>
      <c r="E90" s="47">
        <f>IF(OR($A90="",$C90=0),"",IFERROR($D90/$C90,""))</f>
        <v/>
      </c>
      <c r="F90" s="48">
        <f>IF(OR($A90="",$C90=0),"",IFERROR(SUMPRODUCT(('Unit Mix'!$A$5:$A$104='Assumptions'!$B$4)*('Unit Mix'!$I$5:$I$104="Included")*'Unit Mix'!$D$5:$D$104*'Unit Mix'!$E$5:$E$104)*(1+'Assumptions'!$B$7)^(($A90-1)/12),""))</f>
        <v/>
      </c>
      <c r="G90" s="48">
        <f>IF(OR($A90="",$C90=0),"",IFERROR(SUMPRODUCT(('Unit Mix'!$A$5:$A$104='Assumptions'!$B$4)*('Unit Mix'!$I$5:$I$104="Included")*'Unit Mix'!$D$5:$D$104*'Unit Mix'!$E$5:$E$104*('Unit Mix'!$F$5:$F$104+MIN(1,IFERROR(($A90-1)/'Assumptions'!$B$8,0))*('Unit Mix'!$G$5:$G$104-'Unit Mix'!$F$5:$F$104)))*(1+'Assumptions'!$B$7)^(($A90-1)/12),""))</f>
        <v/>
      </c>
      <c r="H90" s="48">
        <f>IF($G90="","",IFERROR($D90*'Assumptions'!$B$9*(1+'Assumptions'!$B$10)^(($A90-1)/12),""))</f>
        <v/>
      </c>
      <c r="I90" s="48">
        <f>IF($G90="","",IFERROR($G90*'Assumptions'!$B$11,""))</f>
        <v/>
      </c>
      <c r="J90" s="48">
        <f>IF($G90="","",IFERROR(SUM($G90:$I90),""))</f>
        <v/>
      </c>
      <c r="K90" s="48">
        <f>IF($J90="","",IFERROR($J90*'Assumptions'!$B$12,""))</f>
        <v/>
      </c>
      <c r="L90" s="48">
        <f>IF($J90="","",IFERROR('Assumptions'!$B$13*(1+'Assumptions'!$B$14)^(($A90-1)/12),""))</f>
        <v/>
      </c>
      <c r="M90" s="48">
        <f>IF($J90="","",IFERROR('Assumptions'!$B$15,""))</f>
        <v/>
      </c>
      <c r="N90" s="48">
        <f>IF($J90="","",IFERROR($J90-SUM($K90:$M90),""))</f>
        <v/>
      </c>
      <c r="O90" s="48">
        <f>IF($N90="","",IFERROR('Assumptions'!$B$16,""))</f>
        <v/>
      </c>
      <c r="P90" s="48">
        <f>IF($N90="","",IFERROR($N90-$O90,""))</f>
        <v/>
      </c>
      <c r="Q90" s="9">
        <f>IF($A90="","",IF($C90=0,"Review",IF(OR($E90&lt;'Assumptions'!$B$18,$P90&lt;'Assumptions'!$B$17),"Review","OK")))</f>
        <v/>
      </c>
    </row>
    <row r="91">
      <c r="A91" s="31">
        <f>IF(87&lt;='Assumptions'!$B$6,87,"")</f>
        <v/>
      </c>
      <c r="B91" s="61">
        <f>IF($A91="","",IFERROR(EDATE('Assumptions'!$B$5,$A91-1),""))</f>
        <v/>
      </c>
      <c r="C91" s="31">
        <f>IF($A91="","",IFERROR(SUMIFS('Unit Mix'!$D$5:$D$104,'Unit Mix'!$A$5:$A$104,'Assumptions'!$B$4,'Unit Mix'!$I$5:$I$104,"Included"),""))</f>
        <v/>
      </c>
      <c r="D91" s="62">
        <f>IF(OR($A91="",$C91=0),"",IFERROR(SUMPRODUCT(('Unit Mix'!$A$5:$A$104='Assumptions'!$B$4)*('Unit Mix'!$I$5:$I$104="Included")*'Unit Mix'!$D$5:$D$104*('Unit Mix'!$F$5:$F$104+MIN(1,IFERROR(($A91-1)/'Assumptions'!$B$8,0))*('Unit Mix'!$G$5:$G$104-'Unit Mix'!$F$5:$F$104))),""))</f>
        <v/>
      </c>
      <c r="E91" s="49">
        <f>IF(OR($A91="",$C91=0),"",IFERROR($D91/$C91,""))</f>
        <v/>
      </c>
      <c r="F91" s="50">
        <f>IF(OR($A91="",$C91=0),"",IFERROR(SUMPRODUCT(('Unit Mix'!$A$5:$A$104='Assumptions'!$B$4)*('Unit Mix'!$I$5:$I$104="Included")*'Unit Mix'!$D$5:$D$104*'Unit Mix'!$E$5:$E$104)*(1+'Assumptions'!$B$7)^(($A91-1)/12),""))</f>
        <v/>
      </c>
      <c r="G91" s="50">
        <f>IF(OR($A91="",$C91=0),"",IFERROR(SUMPRODUCT(('Unit Mix'!$A$5:$A$104='Assumptions'!$B$4)*('Unit Mix'!$I$5:$I$104="Included")*'Unit Mix'!$D$5:$D$104*'Unit Mix'!$E$5:$E$104*('Unit Mix'!$F$5:$F$104+MIN(1,IFERROR(($A91-1)/'Assumptions'!$B$8,0))*('Unit Mix'!$G$5:$G$104-'Unit Mix'!$F$5:$F$104)))*(1+'Assumptions'!$B$7)^(($A91-1)/12),""))</f>
        <v/>
      </c>
      <c r="H91" s="50">
        <f>IF($G91="","",IFERROR($D91*'Assumptions'!$B$9*(1+'Assumptions'!$B$10)^(($A91-1)/12),""))</f>
        <v/>
      </c>
      <c r="I91" s="50">
        <f>IF($G91="","",IFERROR($G91*'Assumptions'!$B$11,""))</f>
        <v/>
      </c>
      <c r="J91" s="50">
        <f>IF($G91="","",IFERROR(SUM($G91:$I91),""))</f>
        <v/>
      </c>
      <c r="K91" s="50">
        <f>IF($J91="","",IFERROR($J91*'Assumptions'!$B$12,""))</f>
        <v/>
      </c>
      <c r="L91" s="50">
        <f>IF($J91="","",IFERROR('Assumptions'!$B$13*(1+'Assumptions'!$B$14)^(($A91-1)/12),""))</f>
        <v/>
      </c>
      <c r="M91" s="50">
        <f>IF($J91="","",IFERROR('Assumptions'!$B$15,""))</f>
        <v/>
      </c>
      <c r="N91" s="50">
        <f>IF($J91="","",IFERROR($J91-SUM($K91:$M91),""))</f>
        <v/>
      </c>
      <c r="O91" s="50">
        <f>IF($N91="","",IFERROR('Assumptions'!$B$16,""))</f>
        <v/>
      </c>
      <c r="P91" s="50">
        <f>IF($N91="","",IFERROR($N91-$O91,""))</f>
        <v/>
      </c>
      <c r="Q91" s="13">
        <f>IF($A91="","",IF($C91=0,"Review",IF(OR($E91&lt;'Assumptions'!$B$18,$P91&lt;'Assumptions'!$B$17),"Review","OK")))</f>
        <v/>
      </c>
    </row>
    <row r="92">
      <c r="A92" s="34">
        <f>IF(88&lt;='Assumptions'!$B$6,88,"")</f>
        <v/>
      </c>
      <c r="B92" s="63">
        <f>IF($A92="","",IFERROR(EDATE('Assumptions'!$B$5,$A92-1),""))</f>
        <v/>
      </c>
      <c r="C92" s="34">
        <f>IF($A92="","",IFERROR(SUMIFS('Unit Mix'!$D$5:$D$104,'Unit Mix'!$A$5:$A$104,'Assumptions'!$B$4,'Unit Mix'!$I$5:$I$104,"Included"),""))</f>
        <v/>
      </c>
      <c r="D92" s="64">
        <f>IF(OR($A92="",$C92=0),"",IFERROR(SUMPRODUCT(('Unit Mix'!$A$5:$A$104='Assumptions'!$B$4)*('Unit Mix'!$I$5:$I$104="Included")*'Unit Mix'!$D$5:$D$104*('Unit Mix'!$F$5:$F$104+MIN(1,IFERROR(($A92-1)/'Assumptions'!$B$8,0))*('Unit Mix'!$G$5:$G$104-'Unit Mix'!$F$5:$F$104))),""))</f>
        <v/>
      </c>
      <c r="E92" s="47">
        <f>IF(OR($A92="",$C92=0),"",IFERROR($D92/$C92,""))</f>
        <v/>
      </c>
      <c r="F92" s="48">
        <f>IF(OR($A92="",$C92=0),"",IFERROR(SUMPRODUCT(('Unit Mix'!$A$5:$A$104='Assumptions'!$B$4)*('Unit Mix'!$I$5:$I$104="Included")*'Unit Mix'!$D$5:$D$104*'Unit Mix'!$E$5:$E$104)*(1+'Assumptions'!$B$7)^(($A92-1)/12),""))</f>
        <v/>
      </c>
      <c r="G92" s="48">
        <f>IF(OR($A92="",$C92=0),"",IFERROR(SUMPRODUCT(('Unit Mix'!$A$5:$A$104='Assumptions'!$B$4)*('Unit Mix'!$I$5:$I$104="Included")*'Unit Mix'!$D$5:$D$104*'Unit Mix'!$E$5:$E$104*('Unit Mix'!$F$5:$F$104+MIN(1,IFERROR(($A92-1)/'Assumptions'!$B$8,0))*('Unit Mix'!$G$5:$G$104-'Unit Mix'!$F$5:$F$104)))*(1+'Assumptions'!$B$7)^(($A92-1)/12),""))</f>
        <v/>
      </c>
      <c r="H92" s="48">
        <f>IF($G92="","",IFERROR($D92*'Assumptions'!$B$9*(1+'Assumptions'!$B$10)^(($A92-1)/12),""))</f>
        <v/>
      </c>
      <c r="I92" s="48">
        <f>IF($G92="","",IFERROR($G92*'Assumptions'!$B$11,""))</f>
        <v/>
      </c>
      <c r="J92" s="48">
        <f>IF($G92="","",IFERROR(SUM($G92:$I92),""))</f>
        <v/>
      </c>
      <c r="K92" s="48">
        <f>IF($J92="","",IFERROR($J92*'Assumptions'!$B$12,""))</f>
        <v/>
      </c>
      <c r="L92" s="48">
        <f>IF($J92="","",IFERROR('Assumptions'!$B$13*(1+'Assumptions'!$B$14)^(($A92-1)/12),""))</f>
        <v/>
      </c>
      <c r="M92" s="48">
        <f>IF($J92="","",IFERROR('Assumptions'!$B$15,""))</f>
        <v/>
      </c>
      <c r="N92" s="48">
        <f>IF($J92="","",IFERROR($J92-SUM($K92:$M92),""))</f>
        <v/>
      </c>
      <c r="O92" s="48">
        <f>IF($N92="","",IFERROR('Assumptions'!$B$16,""))</f>
        <v/>
      </c>
      <c r="P92" s="48">
        <f>IF($N92="","",IFERROR($N92-$O92,""))</f>
        <v/>
      </c>
      <c r="Q92" s="9">
        <f>IF($A92="","",IF($C92=0,"Review",IF(OR($E92&lt;'Assumptions'!$B$18,$P92&lt;'Assumptions'!$B$17),"Review","OK")))</f>
        <v/>
      </c>
    </row>
    <row r="93">
      <c r="A93" s="31">
        <f>IF(89&lt;='Assumptions'!$B$6,89,"")</f>
        <v/>
      </c>
      <c r="B93" s="61">
        <f>IF($A93="","",IFERROR(EDATE('Assumptions'!$B$5,$A93-1),""))</f>
        <v/>
      </c>
      <c r="C93" s="31">
        <f>IF($A93="","",IFERROR(SUMIFS('Unit Mix'!$D$5:$D$104,'Unit Mix'!$A$5:$A$104,'Assumptions'!$B$4,'Unit Mix'!$I$5:$I$104,"Included"),""))</f>
        <v/>
      </c>
      <c r="D93" s="62">
        <f>IF(OR($A93="",$C93=0),"",IFERROR(SUMPRODUCT(('Unit Mix'!$A$5:$A$104='Assumptions'!$B$4)*('Unit Mix'!$I$5:$I$104="Included")*'Unit Mix'!$D$5:$D$104*('Unit Mix'!$F$5:$F$104+MIN(1,IFERROR(($A93-1)/'Assumptions'!$B$8,0))*('Unit Mix'!$G$5:$G$104-'Unit Mix'!$F$5:$F$104))),""))</f>
        <v/>
      </c>
      <c r="E93" s="49">
        <f>IF(OR($A93="",$C93=0),"",IFERROR($D93/$C93,""))</f>
        <v/>
      </c>
      <c r="F93" s="50">
        <f>IF(OR($A93="",$C93=0),"",IFERROR(SUMPRODUCT(('Unit Mix'!$A$5:$A$104='Assumptions'!$B$4)*('Unit Mix'!$I$5:$I$104="Included")*'Unit Mix'!$D$5:$D$104*'Unit Mix'!$E$5:$E$104)*(1+'Assumptions'!$B$7)^(($A93-1)/12),""))</f>
        <v/>
      </c>
      <c r="G93" s="50">
        <f>IF(OR($A93="",$C93=0),"",IFERROR(SUMPRODUCT(('Unit Mix'!$A$5:$A$104='Assumptions'!$B$4)*('Unit Mix'!$I$5:$I$104="Included")*'Unit Mix'!$D$5:$D$104*'Unit Mix'!$E$5:$E$104*('Unit Mix'!$F$5:$F$104+MIN(1,IFERROR(($A93-1)/'Assumptions'!$B$8,0))*('Unit Mix'!$G$5:$G$104-'Unit Mix'!$F$5:$F$104)))*(1+'Assumptions'!$B$7)^(($A93-1)/12),""))</f>
        <v/>
      </c>
      <c r="H93" s="50">
        <f>IF($G93="","",IFERROR($D93*'Assumptions'!$B$9*(1+'Assumptions'!$B$10)^(($A93-1)/12),""))</f>
        <v/>
      </c>
      <c r="I93" s="50">
        <f>IF($G93="","",IFERROR($G93*'Assumptions'!$B$11,""))</f>
        <v/>
      </c>
      <c r="J93" s="50">
        <f>IF($G93="","",IFERROR(SUM($G93:$I93),""))</f>
        <v/>
      </c>
      <c r="K93" s="50">
        <f>IF($J93="","",IFERROR($J93*'Assumptions'!$B$12,""))</f>
        <v/>
      </c>
      <c r="L93" s="50">
        <f>IF($J93="","",IFERROR('Assumptions'!$B$13*(1+'Assumptions'!$B$14)^(($A93-1)/12),""))</f>
        <v/>
      </c>
      <c r="M93" s="50">
        <f>IF($J93="","",IFERROR('Assumptions'!$B$15,""))</f>
        <v/>
      </c>
      <c r="N93" s="50">
        <f>IF($J93="","",IFERROR($J93-SUM($K93:$M93),""))</f>
        <v/>
      </c>
      <c r="O93" s="50">
        <f>IF($N93="","",IFERROR('Assumptions'!$B$16,""))</f>
        <v/>
      </c>
      <c r="P93" s="50">
        <f>IF($N93="","",IFERROR($N93-$O93,""))</f>
        <v/>
      </c>
      <c r="Q93" s="13">
        <f>IF($A93="","",IF($C93=0,"Review",IF(OR($E93&lt;'Assumptions'!$B$18,$P93&lt;'Assumptions'!$B$17),"Review","OK")))</f>
        <v/>
      </c>
    </row>
    <row r="94">
      <c r="A94" s="34">
        <f>IF(90&lt;='Assumptions'!$B$6,90,"")</f>
        <v/>
      </c>
      <c r="B94" s="63">
        <f>IF($A94="","",IFERROR(EDATE('Assumptions'!$B$5,$A94-1),""))</f>
        <v/>
      </c>
      <c r="C94" s="34">
        <f>IF($A94="","",IFERROR(SUMIFS('Unit Mix'!$D$5:$D$104,'Unit Mix'!$A$5:$A$104,'Assumptions'!$B$4,'Unit Mix'!$I$5:$I$104,"Included"),""))</f>
        <v/>
      </c>
      <c r="D94" s="64">
        <f>IF(OR($A94="",$C94=0),"",IFERROR(SUMPRODUCT(('Unit Mix'!$A$5:$A$104='Assumptions'!$B$4)*('Unit Mix'!$I$5:$I$104="Included")*'Unit Mix'!$D$5:$D$104*('Unit Mix'!$F$5:$F$104+MIN(1,IFERROR(($A94-1)/'Assumptions'!$B$8,0))*('Unit Mix'!$G$5:$G$104-'Unit Mix'!$F$5:$F$104))),""))</f>
        <v/>
      </c>
      <c r="E94" s="47">
        <f>IF(OR($A94="",$C94=0),"",IFERROR($D94/$C94,""))</f>
        <v/>
      </c>
      <c r="F94" s="48">
        <f>IF(OR($A94="",$C94=0),"",IFERROR(SUMPRODUCT(('Unit Mix'!$A$5:$A$104='Assumptions'!$B$4)*('Unit Mix'!$I$5:$I$104="Included")*'Unit Mix'!$D$5:$D$104*'Unit Mix'!$E$5:$E$104)*(1+'Assumptions'!$B$7)^(($A94-1)/12),""))</f>
        <v/>
      </c>
      <c r="G94" s="48">
        <f>IF(OR($A94="",$C94=0),"",IFERROR(SUMPRODUCT(('Unit Mix'!$A$5:$A$104='Assumptions'!$B$4)*('Unit Mix'!$I$5:$I$104="Included")*'Unit Mix'!$D$5:$D$104*'Unit Mix'!$E$5:$E$104*('Unit Mix'!$F$5:$F$104+MIN(1,IFERROR(($A94-1)/'Assumptions'!$B$8,0))*('Unit Mix'!$G$5:$G$104-'Unit Mix'!$F$5:$F$104)))*(1+'Assumptions'!$B$7)^(($A94-1)/12),""))</f>
        <v/>
      </c>
      <c r="H94" s="48">
        <f>IF($G94="","",IFERROR($D94*'Assumptions'!$B$9*(1+'Assumptions'!$B$10)^(($A94-1)/12),""))</f>
        <v/>
      </c>
      <c r="I94" s="48">
        <f>IF($G94="","",IFERROR($G94*'Assumptions'!$B$11,""))</f>
        <v/>
      </c>
      <c r="J94" s="48">
        <f>IF($G94="","",IFERROR(SUM($G94:$I94),""))</f>
        <v/>
      </c>
      <c r="K94" s="48">
        <f>IF($J94="","",IFERROR($J94*'Assumptions'!$B$12,""))</f>
        <v/>
      </c>
      <c r="L94" s="48">
        <f>IF($J94="","",IFERROR('Assumptions'!$B$13*(1+'Assumptions'!$B$14)^(($A94-1)/12),""))</f>
        <v/>
      </c>
      <c r="M94" s="48">
        <f>IF($J94="","",IFERROR('Assumptions'!$B$15,""))</f>
        <v/>
      </c>
      <c r="N94" s="48">
        <f>IF($J94="","",IFERROR($J94-SUM($K94:$M94),""))</f>
        <v/>
      </c>
      <c r="O94" s="48">
        <f>IF($N94="","",IFERROR('Assumptions'!$B$16,""))</f>
        <v/>
      </c>
      <c r="P94" s="48">
        <f>IF($N94="","",IFERROR($N94-$O94,""))</f>
        <v/>
      </c>
      <c r="Q94" s="9">
        <f>IF($A94="","",IF($C94=0,"Review",IF(OR($E94&lt;'Assumptions'!$B$18,$P94&lt;'Assumptions'!$B$17),"Review","OK")))</f>
        <v/>
      </c>
    </row>
    <row r="95">
      <c r="A95" s="31">
        <f>IF(91&lt;='Assumptions'!$B$6,91,"")</f>
        <v/>
      </c>
      <c r="B95" s="61">
        <f>IF($A95="","",IFERROR(EDATE('Assumptions'!$B$5,$A95-1),""))</f>
        <v/>
      </c>
      <c r="C95" s="31">
        <f>IF($A95="","",IFERROR(SUMIFS('Unit Mix'!$D$5:$D$104,'Unit Mix'!$A$5:$A$104,'Assumptions'!$B$4,'Unit Mix'!$I$5:$I$104,"Included"),""))</f>
        <v/>
      </c>
      <c r="D95" s="62">
        <f>IF(OR($A95="",$C95=0),"",IFERROR(SUMPRODUCT(('Unit Mix'!$A$5:$A$104='Assumptions'!$B$4)*('Unit Mix'!$I$5:$I$104="Included")*'Unit Mix'!$D$5:$D$104*('Unit Mix'!$F$5:$F$104+MIN(1,IFERROR(($A95-1)/'Assumptions'!$B$8,0))*('Unit Mix'!$G$5:$G$104-'Unit Mix'!$F$5:$F$104))),""))</f>
        <v/>
      </c>
      <c r="E95" s="49">
        <f>IF(OR($A95="",$C95=0),"",IFERROR($D95/$C95,""))</f>
        <v/>
      </c>
      <c r="F95" s="50">
        <f>IF(OR($A95="",$C95=0),"",IFERROR(SUMPRODUCT(('Unit Mix'!$A$5:$A$104='Assumptions'!$B$4)*('Unit Mix'!$I$5:$I$104="Included")*'Unit Mix'!$D$5:$D$104*'Unit Mix'!$E$5:$E$104)*(1+'Assumptions'!$B$7)^(($A95-1)/12),""))</f>
        <v/>
      </c>
      <c r="G95" s="50">
        <f>IF(OR($A95="",$C95=0),"",IFERROR(SUMPRODUCT(('Unit Mix'!$A$5:$A$104='Assumptions'!$B$4)*('Unit Mix'!$I$5:$I$104="Included")*'Unit Mix'!$D$5:$D$104*'Unit Mix'!$E$5:$E$104*('Unit Mix'!$F$5:$F$104+MIN(1,IFERROR(($A95-1)/'Assumptions'!$B$8,0))*('Unit Mix'!$G$5:$G$104-'Unit Mix'!$F$5:$F$104)))*(1+'Assumptions'!$B$7)^(($A95-1)/12),""))</f>
        <v/>
      </c>
      <c r="H95" s="50">
        <f>IF($G95="","",IFERROR($D95*'Assumptions'!$B$9*(1+'Assumptions'!$B$10)^(($A95-1)/12),""))</f>
        <v/>
      </c>
      <c r="I95" s="50">
        <f>IF($G95="","",IFERROR($G95*'Assumptions'!$B$11,""))</f>
        <v/>
      </c>
      <c r="J95" s="50">
        <f>IF($G95="","",IFERROR(SUM($G95:$I95),""))</f>
        <v/>
      </c>
      <c r="K95" s="50">
        <f>IF($J95="","",IFERROR($J95*'Assumptions'!$B$12,""))</f>
        <v/>
      </c>
      <c r="L95" s="50">
        <f>IF($J95="","",IFERROR('Assumptions'!$B$13*(1+'Assumptions'!$B$14)^(($A95-1)/12),""))</f>
        <v/>
      </c>
      <c r="M95" s="50">
        <f>IF($J95="","",IFERROR('Assumptions'!$B$15,""))</f>
        <v/>
      </c>
      <c r="N95" s="50">
        <f>IF($J95="","",IFERROR($J95-SUM($K95:$M95),""))</f>
        <v/>
      </c>
      <c r="O95" s="50">
        <f>IF($N95="","",IFERROR('Assumptions'!$B$16,""))</f>
        <v/>
      </c>
      <c r="P95" s="50">
        <f>IF($N95="","",IFERROR($N95-$O95,""))</f>
        <v/>
      </c>
      <c r="Q95" s="13">
        <f>IF($A95="","",IF($C95=0,"Review",IF(OR($E95&lt;'Assumptions'!$B$18,$P95&lt;'Assumptions'!$B$17),"Review","OK")))</f>
        <v/>
      </c>
    </row>
    <row r="96">
      <c r="A96" s="34">
        <f>IF(92&lt;='Assumptions'!$B$6,92,"")</f>
        <v/>
      </c>
      <c r="B96" s="63">
        <f>IF($A96="","",IFERROR(EDATE('Assumptions'!$B$5,$A96-1),""))</f>
        <v/>
      </c>
      <c r="C96" s="34">
        <f>IF($A96="","",IFERROR(SUMIFS('Unit Mix'!$D$5:$D$104,'Unit Mix'!$A$5:$A$104,'Assumptions'!$B$4,'Unit Mix'!$I$5:$I$104,"Included"),""))</f>
        <v/>
      </c>
      <c r="D96" s="64">
        <f>IF(OR($A96="",$C96=0),"",IFERROR(SUMPRODUCT(('Unit Mix'!$A$5:$A$104='Assumptions'!$B$4)*('Unit Mix'!$I$5:$I$104="Included")*'Unit Mix'!$D$5:$D$104*('Unit Mix'!$F$5:$F$104+MIN(1,IFERROR(($A96-1)/'Assumptions'!$B$8,0))*('Unit Mix'!$G$5:$G$104-'Unit Mix'!$F$5:$F$104))),""))</f>
        <v/>
      </c>
      <c r="E96" s="47">
        <f>IF(OR($A96="",$C96=0),"",IFERROR($D96/$C96,""))</f>
        <v/>
      </c>
      <c r="F96" s="48">
        <f>IF(OR($A96="",$C96=0),"",IFERROR(SUMPRODUCT(('Unit Mix'!$A$5:$A$104='Assumptions'!$B$4)*('Unit Mix'!$I$5:$I$104="Included")*'Unit Mix'!$D$5:$D$104*'Unit Mix'!$E$5:$E$104)*(1+'Assumptions'!$B$7)^(($A96-1)/12),""))</f>
        <v/>
      </c>
      <c r="G96" s="48">
        <f>IF(OR($A96="",$C96=0),"",IFERROR(SUMPRODUCT(('Unit Mix'!$A$5:$A$104='Assumptions'!$B$4)*('Unit Mix'!$I$5:$I$104="Included")*'Unit Mix'!$D$5:$D$104*'Unit Mix'!$E$5:$E$104*('Unit Mix'!$F$5:$F$104+MIN(1,IFERROR(($A96-1)/'Assumptions'!$B$8,0))*('Unit Mix'!$G$5:$G$104-'Unit Mix'!$F$5:$F$104)))*(1+'Assumptions'!$B$7)^(($A96-1)/12),""))</f>
        <v/>
      </c>
      <c r="H96" s="48">
        <f>IF($G96="","",IFERROR($D96*'Assumptions'!$B$9*(1+'Assumptions'!$B$10)^(($A96-1)/12),""))</f>
        <v/>
      </c>
      <c r="I96" s="48">
        <f>IF($G96="","",IFERROR($G96*'Assumptions'!$B$11,""))</f>
        <v/>
      </c>
      <c r="J96" s="48">
        <f>IF($G96="","",IFERROR(SUM($G96:$I96),""))</f>
        <v/>
      </c>
      <c r="K96" s="48">
        <f>IF($J96="","",IFERROR($J96*'Assumptions'!$B$12,""))</f>
        <v/>
      </c>
      <c r="L96" s="48">
        <f>IF($J96="","",IFERROR('Assumptions'!$B$13*(1+'Assumptions'!$B$14)^(($A96-1)/12),""))</f>
        <v/>
      </c>
      <c r="M96" s="48">
        <f>IF($J96="","",IFERROR('Assumptions'!$B$15,""))</f>
        <v/>
      </c>
      <c r="N96" s="48">
        <f>IF($J96="","",IFERROR($J96-SUM($K96:$M96),""))</f>
        <v/>
      </c>
      <c r="O96" s="48">
        <f>IF($N96="","",IFERROR('Assumptions'!$B$16,""))</f>
        <v/>
      </c>
      <c r="P96" s="48">
        <f>IF($N96="","",IFERROR($N96-$O96,""))</f>
        <v/>
      </c>
      <c r="Q96" s="9">
        <f>IF($A96="","",IF($C96=0,"Review",IF(OR($E96&lt;'Assumptions'!$B$18,$P96&lt;'Assumptions'!$B$17),"Review","OK")))</f>
        <v/>
      </c>
    </row>
    <row r="97">
      <c r="A97" s="31">
        <f>IF(93&lt;='Assumptions'!$B$6,93,"")</f>
        <v/>
      </c>
      <c r="B97" s="61">
        <f>IF($A97="","",IFERROR(EDATE('Assumptions'!$B$5,$A97-1),""))</f>
        <v/>
      </c>
      <c r="C97" s="31">
        <f>IF($A97="","",IFERROR(SUMIFS('Unit Mix'!$D$5:$D$104,'Unit Mix'!$A$5:$A$104,'Assumptions'!$B$4,'Unit Mix'!$I$5:$I$104,"Included"),""))</f>
        <v/>
      </c>
      <c r="D97" s="62">
        <f>IF(OR($A97="",$C97=0),"",IFERROR(SUMPRODUCT(('Unit Mix'!$A$5:$A$104='Assumptions'!$B$4)*('Unit Mix'!$I$5:$I$104="Included")*'Unit Mix'!$D$5:$D$104*('Unit Mix'!$F$5:$F$104+MIN(1,IFERROR(($A97-1)/'Assumptions'!$B$8,0))*('Unit Mix'!$G$5:$G$104-'Unit Mix'!$F$5:$F$104))),""))</f>
        <v/>
      </c>
      <c r="E97" s="49">
        <f>IF(OR($A97="",$C97=0),"",IFERROR($D97/$C97,""))</f>
        <v/>
      </c>
      <c r="F97" s="50">
        <f>IF(OR($A97="",$C97=0),"",IFERROR(SUMPRODUCT(('Unit Mix'!$A$5:$A$104='Assumptions'!$B$4)*('Unit Mix'!$I$5:$I$104="Included")*'Unit Mix'!$D$5:$D$104*'Unit Mix'!$E$5:$E$104)*(1+'Assumptions'!$B$7)^(($A97-1)/12),""))</f>
        <v/>
      </c>
      <c r="G97" s="50">
        <f>IF(OR($A97="",$C97=0),"",IFERROR(SUMPRODUCT(('Unit Mix'!$A$5:$A$104='Assumptions'!$B$4)*('Unit Mix'!$I$5:$I$104="Included")*'Unit Mix'!$D$5:$D$104*'Unit Mix'!$E$5:$E$104*('Unit Mix'!$F$5:$F$104+MIN(1,IFERROR(($A97-1)/'Assumptions'!$B$8,0))*('Unit Mix'!$G$5:$G$104-'Unit Mix'!$F$5:$F$104)))*(1+'Assumptions'!$B$7)^(($A97-1)/12),""))</f>
        <v/>
      </c>
      <c r="H97" s="50">
        <f>IF($G97="","",IFERROR($D97*'Assumptions'!$B$9*(1+'Assumptions'!$B$10)^(($A97-1)/12),""))</f>
        <v/>
      </c>
      <c r="I97" s="50">
        <f>IF($G97="","",IFERROR($G97*'Assumptions'!$B$11,""))</f>
        <v/>
      </c>
      <c r="J97" s="50">
        <f>IF($G97="","",IFERROR(SUM($G97:$I97),""))</f>
        <v/>
      </c>
      <c r="K97" s="50">
        <f>IF($J97="","",IFERROR($J97*'Assumptions'!$B$12,""))</f>
        <v/>
      </c>
      <c r="L97" s="50">
        <f>IF($J97="","",IFERROR('Assumptions'!$B$13*(1+'Assumptions'!$B$14)^(($A97-1)/12),""))</f>
        <v/>
      </c>
      <c r="M97" s="50">
        <f>IF($J97="","",IFERROR('Assumptions'!$B$15,""))</f>
        <v/>
      </c>
      <c r="N97" s="50">
        <f>IF($J97="","",IFERROR($J97-SUM($K97:$M97),""))</f>
        <v/>
      </c>
      <c r="O97" s="50">
        <f>IF($N97="","",IFERROR('Assumptions'!$B$16,""))</f>
        <v/>
      </c>
      <c r="P97" s="50">
        <f>IF($N97="","",IFERROR($N97-$O97,""))</f>
        <v/>
      </c>
      <c r="Q97" s="13">
        <f>IF($A97="","",IF($C97=0,"Review",IF(OR($E97&lt;'Assumptions'!$B$18,$P97&lt;'Assumptions'!$B$17),"Review","OK")))</f>
        <v/>
      </c>
    </row>
    <row r="98">
      <c r="A98" s="34">
        <f>IF(94&lt;='Assumptions'!$B$6,94,"")</f>
        <v/>
      </c>
      <c r="B98" s="63">
        <f>IF($A98="","",IFERROR(EDATE('Assumptions'!$B$5,$A98-1),""))</f>
        <v/>
      </c>
      <c r="C98" s="34">
        <f>IF($A98="","",IFERROR(SUMIFS('Unit Mix'!$D$5:$D$104,'Unit Mix'!$A$5:$A$104,'Assumptions'!$B$4,'Unit Mix'!$I$5:$I$104,"Included"),""))</f>
        <v/>
      </c>
      <c r="D98" s="64">
        <f>IF(OR($A98="",$C98=0),"",IFERROR(SUMPRODUCT(('Unit Mix'!$A$5:$A$104='Assumptions'!$B$4)*('Unit Mix'!$I$5:$I$104="Included")*'Unit Mix'!$D$5:$D$104*('Unit Mix'!$F$5:$F$104+MIN(1,IFERROR(($A98-1)/'Assumptions'!$B$8,0))*('Unit Mix'!$G$5:$G$104-'Unit Mix'!$F$5:$F$104))),""))</f>
        <v/>
      </c>
      <c r="E98" s="47">
        <f>IF(OR($A98="",$C98=0),"",IFERROR($D98/$C98,""))</f>
        <v/>
      </c>
      <c r="F98" s="48">
        <f>IF(OR($A98="",$C98=0),"",IFERROR(SUMPRODUCT(('Unit Mix'!$A$5:$A$104='Assumptions'!$B$4)*('Unit Mix'!$I$5:$I$104="Included")*'Unit Mix'!$D$5:$D$104*'Unit Mix'!$E$5:$E$104)*(1+'Assumptions'!$B$7)^(($A98-1)/12),""))</f>
        <v/>
      </c>
      <c r="G98" s="48">
        <f>IF(OR($A98="",$C98=0),"",IFERROR(SUMPRODUCT(('Unit Mix'!$A$5:$A$104='Assumptions'!$B$4)*('Unit Mix'!$I$5:$I$104="Included")*'Unit Mix'!$D$5:$D$104*'Unit Mix'!$E$5:$E$104*('Unit Mix'!$F$5:$F$104+MIN(1,IFERROR(($A98-1)/'Assumptions'!$B$8,0))*('Unit Mix'!$G$5:$G$104-'Unit Mix'!$F$5:$F$104)))*(1+'Assumptions'!$B$7)^(($A98-1)/12),""))</f>
        <v/>
      </c>
      <c r="H98" s="48">
        <f>IF($G98="","",IFERROR($D98*'Assumptions'!$B$9*(1+'Assumptions'!$B$10)^(($A98-1)/12),""))</f>
        <v/>
      </c>
      <c r="I98" s="48">
        <f>IF($G98="","",IFERROR($G98*'Assumptions'!$B$11,""))</f>
        <v/>
      </c>
      <c r="J98" s="48">
        <f>IF($G98="","",IFERROR(SUM($G98:$I98),""))</f>
        <v/>
      </c>
      <c r="K98" s="48">
        <f>IF($J98="","",IFERROR($J98*'Assumptions'!$B$12,""))</f>
        <v/>
      </c>
      <c r="L98" s="48">
        <f>IF($J98="","",IFERROR('Assumptions'!$B$13*(1+'Assumptions'!$B$14)^(($A98-1)/12),""))</f>
        <v/>
      </c>
      <c r="M98" s="48">
        <f>IF($J98="","",IFERROR('Assumptions'!$B$15,""))</f>
        <v/>
      </c>
      <c r="N98" s="48">
        <f>IF($J98="","",IFERROR($J98-SUM($K98:$M98),""))</f>
        <v/>
      </c>
      <c r="O98" s="48">
        <f>IF($N98="","",IFERROR('Assumptions'!$B$16,""))</f>
        <v/>
      </c>
      <c r="P98" s="48">
        <f>IF($N98="","",IFERROR($N98-$O98,""))</f>
        <v/>
      </c>
      <c r="Q98" s="9">
        <f>IF($A98="","",IF($C98=0,"Review",IF(OR($E98&lt;'Assumptions'!$B$18,$P98&lt;'Assumptions'!$B$17),"Review","OK")))</f>
        <v/>
      </c>
    </row>
    <row r="99">
      <c r="A99" s="31">
        <f>IF(95&lt;='Assumptions'!$B$6,95,"")</f>
        <v/>
      </c>
      <c r="B99" s="61">
        <f>IF($A99="","",IFERROR(EDATE('Assumptions'!$B$5,$A99-1),""))</f>
        <v/>
      </c>
      <c r="C99" s="31">
        <f>IF($A99="","",IFERROR(SUMIFS('Unit Mix'!$D$5:$D$104,'Unit Mix'!$A$5:$A$104,'Assumptions'!$B$4,'Unit Mix'!$I$5:$I$104,"Included"),""))</f>
        <v/>
      </c>
      <c r="D99" s="62">
        <f>IF(OR($A99="",$C99=0),"",IFERROR(SUMPRODUCT(('Unit Mix'!$A$5:$A$104='Assumptions'!$B$4)*('Unit Mix'!$I$5:$I$104="Included")*'Unit Mix'!$D$5:$D$104*('Unit Mix'!$F$5:$F$104+MIN(1,IFERROR(($A99-1)/'Assumptions'!$B$8,0))*('Unit Mix'!$G$5:$G$104-'Unit Mix'!$F$5:$F$104))),""))</f>
        <v/>
      </c>
      <c r="E99" s="49">
        <f>IF(OR($A99="",$C99=0),"",IFERROR($D99/$C99,""))</f>
        <v/>
      </c>
      <c r="F99" s="50">
        <f>IF(OR($A99="",$C99=0),"",IFERROR(SUMPRODUCT(('Unit Mix'!$A$5:$A$104='Assumptions'!$B$4)*('Unit Mix'!$I$5:$I$104="Included")*'Unit Mix'!$D$5:$D$104*'Unit Mix'!$E$5:$E$104)*(1+'Assumptions'!$B$7)^(($A99-1)/12),""))</f>
        <v/>
      </c>
      <c r="G99" s="50">
        <f>IF(OR($A99="",$C99=0),"",IFERROR(SUMPRODUCT(('Unit Mix'!$A$5:$A$104='Assumptions'!$B$4)*('Unit Mix'!$I$5:$I$104="Included")*'Unit Mix'!$D$5:$D$104*'Unit Mix'!$E$5:$E$104*('Unit Mix'!$F$5:$F$104+MIN(1,IFERROR(($A99-1)/'Assumptions'!$B$8,0))*('Unit Mix'!$G$5:$G$104-'Unit Mix'!$F$5:$F$104)))*(1+'Assumptions'!$B$7)^(($A99-1)/12),""))</f>
        <v/>
      </c>
      <c r="H99" s="50">
        <f>IF($G99="","",IFERROR($D99*'Assumptions'!$B$9*(1+'Assumptions'!$B$10)^(($A99-1)/12),""))</f>
        <v/>
      </c>
      <c r="I99" s="50">
        <f>IF($G99="","",IFERROR($G99*'Assumptions'!$B$11,""))</f>
        <v/>
      </c>
      <c r="J99" s="50">
        <f>IF($G99="","",IFERROR(SUM($G99:$I99),""))</f>
        <v/>
      </c>
      <c r="K99" s="50">
        <f>IF($J99="","",IFERROR($J99*'Assumptions'!$B$12,""))</f>
        <v/>
      </c>
      <c r="L99" s="50">
        <f>IF($J99="","",IFERROR('Assumptions'!$B$13*(1+'Assumptions'!$B$14)^(($A99-1)/12),""))</f>
        <v/>
      </c>
      <c r="M99" s="50">
        <f>IF($J99="","",IFERROR('Assumptions'!$B$15,""))</f>
        <v/>
      </c>
      <c r="N99" s="50">
        <f>IF($J99="","",IFERROR($J99-SUM($K99:$M99),""))</f>
        <v/>
      </c>
      <c r="O99" s="50">
        <f>IF($N99="","",IFERROR('Assumptions'!$B$16,""))</f>
        <v/>
      </c>
      <c r="P99" s="50">
        <f>IF($N99="","",IFERROR($N99-$O99,""))</f>
        <v/>
      </c>
      <c r="Q99" s="13">
        <f>IF($A99="","",IF($C99=0,"Review",IF(OR($E99&lt;'Assumptions'!$B$18,$P99&lt;'Assumptions'!$B$17),"Review","OK")))</f>
        <v/>
      </c>
    </row>
    <row r="100">
      <c r="A100" s="34">
        <f>IF(96&lt;='Assumptions'!$B$6,96,"")</f>
        <v/>
      </c>
      <c r="B100" s="63">
        <f>IF($A100="","",IFERROR(EDATE('Assumptions'!$B$5,$A100-1),""))</f>
        <v/>
      </c>
      <c r="C100" s="34">
        <f>IF($A100="","",IFERROR(SUMIFS('Unit Mix'!$D$5:$D$104,'Unit Mix'!$A$5:$A$104,'Assumptions'!$B$4,'Unit Mix'!$I$5:$I$104,"Included"),""))</f>
        <v/>
      </c>
      <c r="D100" s="64">
        <f>IF(OR($A100="",$C100=0),"",IFERROR(SUMPRODUCT(('Unit Mix'!$A$5:$A$104='Assumptions'!$B$4)*('Unit Mix'!$I$5:$I$104="Included")*'Unit Mix'!$D$5:$D$104*('Unit Mix'!$F$5:$F$104+MIN(1,IFERROR(($A100-1)/'Assumptions'!$B$8,0))*('Unit Mix'!$G$5:$G$104-'Unit Mix'!$F$5:$F$104))),""))</f>
        <v/>
      </c>
      <c r="E100" s="47">
        <f>IF(OR($A100="",$C100=0),"",IFERROR($D100/$C100,""))</f>
        <v/>
      </c>
      <c r="F100" s="48">
        <f>IF(OR($A100="",$C100=0),"",IFERROR(SUMPRODUCT(('Unit Mix'!$A$5:$A$104='Assumptions'!$B$4)*('Unit Mix'!$I$5:$I$104="Included")*'Unit Mix'!$D$5:$D$104*'Unit Mix'!$E$5:$E$104)*(1+'Assumptions'!$B$7)^(($A100-1)/12),""))</f>
        <v/>
      </c>
      <c r="G100" s="48">
        <f>IF(OR($A100="",$C100=0),"",IFERROR(SUMPRODUCT(('Unit Mix'!$A$5:$A$104='Assumptions'!$B$4)*('Unit Mix'!$I$5:$I$104="Included")*'Unit Mix'!$D$5:$D$104*'Unit Mix'!$E$5:$E$104*('Unit Mix'!$F$5:$F$104+MIN(1,IFERROR(($A100-1)/'Assumptions'!$B$8,0))*('Unit Mix'!$G$5:$G$104-'Unit Mix'!$F$5:$F$104)))*(1+'Assumptions'!$B$7)^(($A100-1)/12),""))</f>
        <v/>
      </c>
      <c r="H100" s="48">
        <f>IF($G100="","",IFERROR($D100*'Assumptions'!$B$9*(1+'Assumptions'!$B$10)^(($A100-1)/12),""))</f>
        <v/>
      </c>
      <c r="I100" s="48">
        <f>IF($G100="","",IFERROR($G100*'Assumptions'!$B$11,""))</f>
        <v/>
      </c>
      <c r="J100" s="48">
        <f>IF($G100="","",IFERROR(SUM($G100:$I100),""))</f>
        <v/>
      </c>
      <c r="K100" s="48">
        <f>IF($J100="","",IFERROR($J100*'Assumptions'!$B$12,""))</f>
        <v/>
      </c>
      <c r="L100" s="48">
        <f>IF($J100="","",IFERROR('Assumptions'!$B$13*(1+'Assumptions'!$B$14)^(($A100-1)/12),""))</f>
        <v/>
      </c>
      <c r="M100" s="48">
        <f>IF($J100="","",IFERROR('Assumptions'!$B$15,""))</f>
        <v/>
      </c>
      <c r="N100" s="48">
        <f>IF($J100="","",IFERROR($J100-SUM($K100:$M100),""))</f>
        <v/>
      </c>
      <c r="O100" s="48">
        <f>IF($N100="","",IFERROR('Assumptions'!$B$16,""))</f>
        <v/>
      </c>
      <c r="P100" s="48">
        <f>IF($N100="","",IFERROR($N100-$O100,""))</f>
        <v/>
      </c>
      <c r="Q100" s="9">
        <f>IF($A100="","",IF($C100=0,"Review",IF(OR($E100&lt;'Assumptions'!$B$18,$P100&lt;'Assumptions'!$B$17),"Review","OK")))</f>
        <v/>
      </c>
    </row>
    <row r="101">
      <c r="A101" s="31">
        <f>IF(97&lt;='Assumptions'!$B$6,97,"")</f>
        <v/>
      </c>
      <c r="B101" s="61">
        <f>IF($A101="","",IFERROR(EDATE('Assumptions'!$B$5,$A101-1),""))</f>
        <v/>
      </c>
      <c r="C101" s="31">
        <f>IF($A101="","",IFERROR(SUMIFS('Unit Mix'!$D$5:$D$104,'Unit Mix'!$A$5:$A$104,'Assumptions'!$B$4,'Unit Mix'!$I$5:$I$104,"Included"),""))</f>
        <v/>
      </c>
      <c r="D101" s="62">
        <f>IF(OR($A101="",$C101=0),"",IFERROR(SUMPRODUCT(('Unit Mix'!$A$5:$A$104='Assumptions'!$B$4)*('Unit Mix'!$I$5:$I$104="Included")*'Unit Mix'!$D$5:$D$104*('Unit Mix'!$F$5:$F$104+MIN(1,IFERROR(($A101-1)/'Assumptions'!$B$8,0))*('Unit Mix'!$G$5:$G$104-'Unit Mix'!$F$5:$F$104))),""))</f>
        <v/>
      </c>
      <c r="E101" s="49">
        <f>IF(OR($A101="",$C101=0),"",IFERROR($D101/$C101,""))</f>
        <v/>
      </c>
      <c r="F101" s="50">
        <f>IF(OR($A101="",$C101=0),"",IFERROR(SUMPRODUCT(('Unit Mix'!$A$5:$A$104='Assumptions'!$B$4)*('Unit Mix'!$I$5:$I$104="Included")*'Unit Mix'!$D$5:$D$104*'Unit Mix'!$E$5:$E$104)*(1+'Assumptions'!$B$7)^(($A101-1)/12),""))</f>
        <v/>
      </c>
      <c r="G101" s="50">
        <f>IF(OR($A101="",$C101=0),"",IFERROR(SUMPRODUCT(('Unit Mix'!$A$5:$A$104='Assumptions'!$B$4)*('Unit Mix'!$I$5:$I$104="Included")*'Unit Mix'!$D$5:$D$104*'Unit Mix'!$E$5:$E$104*('Unit Mix'!$F$5:$F$104+MIN(1,IFERROR(($A101-1)/'Assumptions'!$B$8,0))*('Unit Mix'!$G$5:$G$104-'Unit Mix'!$F$5:$F$104)))*(1+'Assumptions'!$B$7)^(($A101-1)/12),""))</f>
        <v/>
      </c>
      <c r="H101" s="50">
        <f>IF($G101="","",IFERROR($D101*'Assumptions'!$B$9*(1+'Assumptions'!$B$10)^(($A101-1)/12),""))</f>
        <v/>
      </c>
      <c r="I101" s="50">
        <f>IF($G101="","",IFERROR($G101*'Assumptions'!$B$11,""))</f>
        <v/>
      </c>
      <c r="J101" s="50">
        <f>IF($G101="","",IFERROR(SUM($G101:$I101),""))</f>
        <v/>
      </c>
      <c r="K101" s="50">
        <f>IF($J101="","",IFERROR($J101*'Assumptions'!$B$12,""))</f>
        <v/>
      </c>
      <c r="L101" s="50">
        <f>IF($J101="","",IFERROR('Assumptions'!$B$13*(1+'Assumptions'!$B$14)^(($A101-1)/12),""))</f>
        <v/>
      </c>
      <c r="M101" s="50">
        <f>IF($J101="","",IFERROR('Assumptions'!$B$15,""))</f>
        <v/>
      </c>
      <c r="N101" s="50">
        <f>IF($J101="","",IFERROR($J101-SUM($K101:$M101),""))</f>
        <v/>
      </c>
      <c r="O101" s="50">
        <f>IF($N101="","",IFERROR('Assumptions'!$B$16,""))</f>
        <v/>
      </c>
      <c r="P101" s="50">
        <f>IF($N101="","",IFERROR($N101-$O101,""))</f>
        <v/>
      </c>
      <c r="Q101" s="13">
        <f>IF($A101="","",IF($C101=0,"Review",IF(OR($E101&lt;'Assumptions'!$B$18,$P101&lt;'Assumptions'!$B$17),"Review","OK")))</f>
        <v/>
      </c>
    </row>
    <row r="102">
      <c r="A102" s="34">
        <f>IF(98&lt;='Assumptions'!$B$6,98,"")</f>
        <v/>
      </c>
      <c r="B102" s="63">
        <f>IF($A102="","",IFERROR(EDATE('Assumptions'!$B$5,$A102-1),""))</f>
        <v/>
      </c>
      <c r="C102" s="34">
        <f>IF($A102="","",IFERROR(SUMIFS('Unit Mix'!$D$5:$D$104,'Unit Mix'!$A$5:$A$104,'Assumptions'!$B$4,'Unit Mix'!$I$5:$I$104,"Included"),""))</f>
        <v/>
      </c>
      <c r="D102" s="64">
        <f>IF(OR($A102="",$C102=0),"",IFERROR(SUMPRODUCT(('Unit Mix'!$A$5:$A$104='Assumptions'!$B$4)*('Unit Mix'!$I$5:$I$104="Included")*'Unit Mix'!$D$5:$D$104*('Unit Mix'!$F$5:$F$104+MIN(1,IFERROR(($A102-1)/'Assumptions'!$B$8,0))*('Unit Mix'!$G$5:$G$104-'Unit Mix'!$F$5:$F$104))),""))</f>
        <v/>
      </c>
      <c r="E102" s="47">
        <f>IF(OR($A102="",$C102=0),"",IFERROR($D102/$C102,""))</f>
        <v/>
      </c>
      <c r="F102" s="48">
        <f>IF(OR($A102="",$C102=0),"",IFERROR(SUMPRODUCT(('Unit Mix'!$A$5:$A$104='Assumptions'!$B$4)*('Unit Mix'!$I$5:$I$104="Included")*'Unit Mix'!$D$5:$D$104*'Unit Mix'!$E$5:$E$104)*(1+'Assumptions'!$B$7)^(($A102-1)/12),""))</f>
        <v/>
      </c>
      <c r="G102" s="48">
        <f>IF(OR($A102="",$C102=0),"",IFERROR(SUMPRODUCT(('Unit Mix'!$A$5:$A$104='Assumptions'!$B$4)*('Unit Mix'!$I$5:$I$104="Included")*'Unit Mix'!$D$5:$D$104*'Unit Mix'!$E$5:$E$104*('Unit Mix'!$F$5:$F$104+MIN(1,IFERROR(($A102-1)/'Assumptions'!$B$8,0))*('Unit Mix'!$G$5:$G$104-'Unit Mix'!$F$5:$F$104)))*(1+'Assumptions'!$B$7)^(($A102-1)/12),""))</f>
        <v/>
      </c>
      <c r="H102" s="48">
        <f>IF($G102="","",IFERROR($D102*'Assumptions'!$B$9*(1+'Assumptions'!$B$10)^(($A102-1)/12),""))</f>
        <v/>
      </c>
      <c r="I102" s="48">
        <f>IF($G102="","",IFERROR($G102*'Assumptions'!$B$11,""))</f>
        <v/>
      </c>
      <c r="J102" s="48">
        <f>IF($G102="","",IFERROR(SUM($G102:$I102),""))</f>
        <v/>
      </c>
      <c r="K102" s="48">
        <f>IF($J102="","",IFERROR($J102*'Assumptions'!$B$12,""))</f>
        <v/>
      </c>
      <c r="L102" s="48">
        <f>IF($J102="","",IFERROR('Assumptions'!$B$13*(1+'Assumptions'!$B$14)^(($A102-1)/12),""))</f>
        <v/>
      </c>
      <c r="M102" s="48">
        <f>IF($J102="","",IFERROR('Assumptions'!$B$15,""))</f>
        <v/>
      </c>
      <c r="N102" s="48">
        <f>IF($J102="","",IFERROR($J102-SUM($K102:$M102),""))</f>
        <v/>
      </c>
      <c r="O102" s="48">
        <f>IF($N102="","",IFERROR('Assumptions'!$B$16,""))</f>
        <v/>
      </c>
      <c r="P102" s="48">
        <f>IF($N102="","",IFERROR($N102-$O102,""))</f>
        <v/>
      </c>
      <c r="Q102" s="9">
        <f>IF($A102="","",IF($C102=0,"Review",IF(OR($E102&lt;'Assumptions'!$B$18,$P102&lt;'Assumptions'!$B$17),"Review","OK")))</f>
        <v/>
      </c>
    </row>
    <row r="103">
      <c r="A103" s="31">
        <f>IF(99&lt;='Assumptions'!$B$6,99,"")</f>
        <v/>
      </c>
      <c r="B103" s="61">
        <f>IF($A103="","",IFERROR(EDATE('Assumptions'!$B$5,$A103-1),""))</f>
        <v/>
      </c>
      <c r="C103" s="31">
        <f>IF($A103="","",IFERROR(SUMIFS('Unit Mix'!$D$5:$D$104,'Unit Mix'!$A$5:$A$104,'Assumptions'!$B$4,'Unit Mix'!$I$5:$I$104,"Included"),""))</f>
        <v/>
      </c>
      <c r="D103" s="62">
        <f>IF(OR($A103="",$C103=0),"",IFERROR(SUMPRODUCT(('Unit Mix'!$A$5:$A$104='Assumptions'!$B$4)*('Unit Mix'!$I$5:$I$104="Included")*'Unit Mix'!$D$5:$D$104*('Unit Mix'!$F$5:$F$104+MIN(1,IFERROR(($A103-1)/'Assumptions'!$B$8,0))*('Unit Mix'!$G$5:$G$104-'Unit Mix'!$F$5:$F$104))),""))</f>
        <v/>
      </c>
      <c r="E103" s="49">
        <f>IF(OR($A103="",$C103=0),"",IFERROR($D103/$C103,""))</f>
        <v/>
      </c>
      <c r="F103" s="50">
        <f>IF(OR($A103="",$C103=0),"",IFERROR(SUMPRODUCT(('Unit Mix'!$A$5:$A$104='Assumptions'!$B$4)*('Unit Mix'!$I$5:$I$104="Included")*'Unit Mix'!$D$5:$D$104*'Unit Mix'!$E$5:$E$104)*(1+'Assumptions'!$B$7)^(($A103-1)/12),""))</f>
        <v/>
      </c>
      <c r="G103" s="50">
        <f>IF(OR($A103="",$C103=0),"",IFERROR(SUMPRODUCT(('Unit Mix'!$A$5:$A$104='Assumptions'!$B$4)*('Unit Mix'!$I$5:$I$104="Included")*'Unit Mix'!$D$5:$D$104*'Unit Mix'!$E$5:$E$104*('Unit Mix'!$F$5:$F$104+MIN(1,IFERROR(($A103-1)/'Assumptions'!$B$8,0))*('Unit Mix'!$G$5:$G$104-'Unit Mix'!$F$5:$F$104)))*(1+'Assumptions'!$B$7)^(($A103-1)/12),""))</f>
        <v/>
      </c>
      <c r="H103" s="50">
        <f>IF($G103="","",IFERROR($D103*'Assumptions'!$B$9*(1+'Assumptions'!$B$10)^(($A103-1)/12),""))</f>
        <v/>
      </c>
      <c r="I103" s="50">
        <f>IF($G103="","",IFERROR($G103*'Assumptions'!$B$11,""))</f>
        <v/>
      </c>
      <c r="J103" s="50">
        <f>IF($G103="","",IFERROR(SUM($G103:$I103),""))</f>
        <v/>
      </c>
      <c r="K103" s="50">
        <f>IF($J103="","",IFERROR($J103*'Assumptions'!$B$12,""))</f>
        <v/>
      </c>
      <c r="L103" s="50">
        <f>IF($J103="","",IFERROR('Assumptions'!$B$13*(1+'Assumptions'!$B$14)^(($A103-1)/12),""))</f>
        <v/>
      </c>
      <c r="M103" s="50">
        <f>IF($J103="","",IFERROR('Assumptions'!$B$15,""))</f>
        <v/>
      </c>
      <c r="N103" s="50">
        <f>IF($J103="","",IFERROR($J103-SUM($K103:$M103),""))</f>
        <v/>
      </c>
      <c r="O103" s="50">
        <f>IF($N103="","",IFERROR('Assumptions'!$B$16,""))</f>
        <v/>
      </c>
      <c r="P103" s="50">
        <f>IF($N103="","",IFERROR($N103-$O103,""))</f>
        <v/>
      </c>
      <c r="Q103" s="13">
        <f>IF($A103="","",IF($C103=0,"Review",IF(OR($E103&lt;'Assumptions'!$B$18,$P103&lt;'Assumptions'!$B$17),"Review","OK")))</f>
        <v/>
      </c>
    </row>
    <row r="104">
      <c r="A104" s="34">
        <f>IF(100&lt;='Assumptions'!$B$6,100,"")</f>
        <v/>
      </c>
      <c r="B104" s="63">
        <f>IF($A104="","",IFERROR(EDATE('Assumptions'!$B$5,$A104-1),""))</f>
        <v/>
      </c>
      <c r="C104" s="34">
        <f>IF($A104="","",IFERROR(SUMIFS('Unit Mix'!$D$5:$D$104,'Unit Mix'!$A$5:$A$104,'Assumptions'!$B$4,'Unit Mix'!$I$5:$I$104,"Included"),""))</f>
        <v/>
      </c>
      <c r="D104" s="64">
        <f>IF(OR($A104="",$C104=0),"",IFERROR(SUMPRODUCT(('Unit Mix'!$A$5:$A$104='Assumptions'!$B$4)*('Unit Mix'!$I$5:$I$104="Included")*'Unit Mix'!$D$5:$D$104*('Unit Mix'!$F$5:$F$104+MIN(1,IFERROR(($A104-1)/'Assumptions'!$B$8,0))*('Unit Mix'!$G$5:$G$104-'Unit Mix'!$F$5:$F$104))),""))</f>
        <v/>
      </c>
      <c r="E104" s="47">
        <f>IF(OR($A104="",$C104=0),"",IFERROR($D104/$C104,""))</f>
        <v/>
      </c>
      <c r="F104" s="48">
        <f>IF(OR($A104="",$C104=0),"",IFERROR(SUMPRODUCT(('Unit Mix'!$A$5:$A$104='Assumptions'!$B$4)*('Unit Mix'!$I$5:$I$104="Included")*'Unit Mix'!$D$5:$D$104*'Unit Mix'!$E$5:$E$104)*(1+'Assumptions'!$B$7)^(($A104-1)/12),""))</f>
        <v/>
      </c>
      <c r="G104" s="48">
        <f>IF(OR($A104="",$C104=0),"",IFERROR(SUMPRODUCT(('Unit Mix'!$A$5:$A$104='Assumptions'!$B$4)*('Unit Mix'!$I$5:$I$104="Included")*'Unit Mix'!$D$5:$D$104*'Unit Mix'!$E$5:$E$104*('Unit Mix'!$F$5:$F$104+MIN(1,IFERROR(($A104-1)/'Assumptions'!$B$8,0))*('Unit Mix'!$G$5:$G$104-'Unit Mix'!$F$5:$F$104)))*(1+'Assumptions'!$B$7)^(($A104-1)/12),""))</f>
        <v/>
      </c>
      <c r="H104" s="48">
        <f>IF($G104="","",IFERROR($D104*'Assumptions'!$B$9*(1+'Assumptions'!$B$10)^(($A104-1)/12),""))</f>
        <v/>
      </c>
      <c r="I104" s="48">
        <f>IF($G104="","",IFERROR($G104*'Assumptions'!$B$11,""))</f>
        <v/>
      </c>
      <c r="J104" s="48">
        <f>IF($G104="","",IFERROR(SUM($G104:$I104),""))</f>
        <v/>
      </c>
      <c r="K104" s="48">
        <f>IF($J104="","",IFERROR($J104*'Assumptions'!$B$12,""))</f>
        <v/>
      </c>
      <c r="L104" s="48">
        <f>IF($J104="","",IFERROR('Assumptions'!$B$13*(1+'Assumptions'!$B$14)^(($A104-1)/12),""))</f>
        <v/>
      </c>
      <c r="M104" s="48">
        <f>IF($J104="","",IFERROR('Assumptions'!$B$15,""))</f>
        <v/>
      </c>
      <c r="N104" s="48">
        <f>IF($J104="","",IFERROR($J104-SUM($K104:$M104),""))</f>
        <v/>
      </c>
      <c r="O104" s="48">
        <f>IF($N104="","",IFERROR('Assumptions'!$B$16,""))</f>
        <v/>
      </c>
      <c r="P104" s="48">
        <f>IF($N104="","",IFERROR($N104-$O104,""))</f>
        <v/>
      </c>
      <c r="Q104" s="9">
        <f>IF($A104="","",IF($C104=0,"Review",IF(OR($E104&lt;'Assumptions'!$B$18,$P104&lt;'Assumptions'!$B$17),"Review","OK")))</f>
        <v/>
      </c>
    </row>
  </sheetData>
  <autoFilter ref="A4:Q104"/>
  <mergeCells count="1">
    <mergeCell ref="A1:Q1"/>
  </mergeCells>
  <conditionalFormatting sqref="A5:Q104">
    <cfRule type="expression" priority="1" dxfId="0" stopIfTrue="1">
      <formula>$Q5="Review"</formula>
    </cfRule>
  </conditionalFormatting>
  <conditionalFormatting sqref="P5:P104">
    <cfRule type="expression" priority="2" dxfId="1">
      <formula>AND($P5&lt;&gt;"",$P5&gt;='Assumptions'!$B$17)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5" customWidth="1" min="2" max="2"/>
    <col width="27" customWidth="1" min="3" max="3"/>
    <col width="18" customWidth="1" min="4" max="4"/>
    <col width="23" customWidth="1" min="5" max="5"/>
  </cols>
  <sheetData>
    <row r="1" ht="28" customHeight="1">
      <c r="A1" s="1" t="inlineStr">
        <is>
          <t>Self Storage Pro Forma Assumptions</t>
        </is>
      </c>
      <c r="B1" s="2" t="n"/>
      <c r="C1" s="2" t="n"/>
      <c r="D1" s="2" t="n"/>
      <c r="E1" s="3" t="n"/>
    </row>
    <row r="2" ht="20" customHeight="1">
      <c r="A2" s="4" t="inlineStr">
        <is>
          <t>Edit yellow scenario inputs for the fictional facility. Validation limits help identify inconsistent entries.</t>
        </is>
      </c>
    </row>
    <row r="3" ht="32" customHeight="1">
      <c r="A3" s="7" t="inlineStr">
        <is>
          <t>Assumption</t>
        </is>
      </c>
      <c r="B3" s="7" t="inlineStr">
        <is>
          <t>Value</t>
        </is>
      </c>
      <c r="C3" s="7" t="inlineStr">
        <is>
          <t>Units and Limits</t>
        </is>
      </c>
      <c r="D3" s="7" t="inlineStr">
        <is>
          <t>Status Options</t>
        </is>
      </c>
      <c r="E3" s="7" t="inlineStr">
        <is>
          <t>Owner Options</t>
        </is>
      </c>
    </row>
    <row r="4">
      <c r="A4" s="37" t="inlineStr">
        <is>
          <t>Facility</t>
        </is>
      </c>
      <c r="B4" s="38" t="inlineStr">
        <is>
          <t>Cedar Lantern Storage - Lake Briar (Fictional)</t>
        </is>
      </c>
      <c r="C4" s="37" t="inlineStr">
        <is>
          <t>Scenario facility label</t>
        </is>
      </c>
      <c r="D4" s="39" t="inlineStr">
        <is>
          <t>Included</t>
        </is>
      </c>
      <c r="E4" s="39" t="inlineStr">
        <is>
          <t>Facility Manager</t>
        </is>
      </c>
    </row>
    <row r="5">
      <c r="A5" s="40" t="inlineStr">
        <is>
          <t>Projection Start</t>
        </is>
      </c>
      <c r="B5" s="65" t="n">
        <v>46388</v>
      </c>
      <c r="C5" s="40" t="inlineStr">
        <is>
          <t>MM/DD/YYYY</t>
        </is>
      </c>
      <c r="D5" s="42" t="inlineStr">
        <is>
          <t>Excluded</t>
        </is>
      </c>
      <c r="E5" s="42" t="inlineStr">
        <is>
          <t>Regional Operator</t>
        </is>
      </c>
    </row>
    <row r="6">
      <c r="A6" s="37" t="inlineStr">
        <is>
          <t>Projection Months</t>
        </is>
      </c>
      <c r="B6" s="43" t="n">
        <v>60</v>
      </c>
      <c r="C6" s="37" t="inlineStr">
        <is>
          <t>12 to 60 months</t>
        </is>
      </c>
      <c r="D6" s="39" t="inlineStr">
        <is>
          <t>Review</t>
        </is>
      </c>
      <c r="E6" s="39" t="inlineStr">
        <is>
          <t>Acquisition Analyst</t>
        </is>
      </c>
    </row>
    <row r="7">
      <c r="A7" s="40" t="inlineStr">
        <is>
          <t>Annual Rent Growth</t>
        </is>
      </c>
      <c r="B7" s="66" t="n">
        <v>0.03</v>
      </c>
      <c r="C7" s="40" t="inlineStr">
        <is>
          <t>0.0% to 25.0%</t>
        </is>
      </c>
      <c r="D7" s="42" t="n"/>
      <c r="E7" s="42" t="inlineStr">
        <is>
          <t>Asset Manager</t>
        </is>
      </c>
    </row>
    <row r="8">
      <c r="A8" s="37" t="inlineStr">
        <is>
          <t>Occupancy Ramp</t>
        </is>
      </c>
      <c r="B8" s="43" t="n">
        <v>24</v>
      </c>
      <c r="C8" s="37" t="inlineStr">
        <is>
          <t>1 to 60 months</t>
        </is>
      </c>
    </row>
    <row r="9">
      <c r="A9" s="40" t="inlineStr">
        <is>
          <t>Ancillary Income per Occupied Unit</t>
        </is>
      </c>
      <c r="B9" s="67" t="n">
        <v>9.5</v>
      </c>
      <c r="C9" s="40" t="inlineStr">
        <is>
          <t>US dollars per month</t>
        </is>
      </c>
    </row>
    <row r="10">
      <c r="A10" s="37" t="inlineStr">
        <is>
          <t>Annual Ancillary Income Growth</t>
        </is>
      </c>
      <c r="B10" s="66" t="n">
        <v>0.02</v>
      </c>
      <c r="C10" s="37" t="inlineStr">
        <is>
          <t>0.0% to 100.0%</t>
        </is>
      </c>
    </row>
    <row r="11">
      <c r="A11" s="40" t="inlineStr">
        <is>
          <t>Other Income as % of Scheduled Rent</t>
        </is>
      </c>
      <c r="B11" s="66" t="n">
        <v>0.015</v>
      </c>
      <c r="C11" s="40" t="inlineStr">
        <is>
          <t>0.0% to 100.0%</t>
        </is>
      </c>
    </row>
    <row r="12">
      <c r="A12" s="37" t="inlineStr">
        <is>
          <t>Variable Operating Expense as % of EGI</t>
        </is>
      </c>
      <c r="B12" s="66" t="n">
        <v>0.08</v>
      </c>
      <c r="C12" s="37" t="inlineStr">
        <is>
          <t>0.0% to 100.0%</t>
        </is>
      </c>
    </row>
    <row r="13">
      <c r="A13" s="40" t="inlineStr">
        <is>
          <t>Fixed Operating Expenses per Month</t>
        </is>
      </c>
      <c r="B13" s="67" t="n">
        <v>14500</v>
      </c>
      <c r="C13" s="40" t="inlineStr">
        <is>
          <t>US dollars</t>
        </is>
      </c>
    </row>
    <row r="14">
      <c r="A14" s="37" t="inlineStr">
        <is>
          <t>Annual Fixed Expense Growth</t>
        </is>
      </c>
      <c r="B14" s="66" t="n">
        <v>0.03</v>
      </c>
      <c r="C14" s="37" t="inlineStr">
        <is>
          <t>0.0% to 100.0%</t>
        </is>
      </c>
    </row>
    <row r="15">
      <c r="A15" s="40" t="inlineStr">
        <is>
          <t>Replacement Reserve per Month</t>
        </is>
      </c>
      <c r="B15" s="67" t="n">
        <v>1500</v>
      </c>
      <c r="C15" s="40" t="inlineStr">
        <is>
          <t>US dollars</t>
        </is>
      </c>
    </row>
    <row r="16">
      <c r="A16" s="37" t="inlineStr">
        <is>
          <t>Debt Service per Month</t>
        </is>
      </c>
      <c r="B16" s="67" t="n">
        <v>10000</v>
      </c>
      <c r="C16" s="37" t="inlineStr">
        <is>
          <t>US dollars</t>
        </is>
      </c>
    </row>
    <row r="17">
      <c r="A17" s="40" t="inlineStr">
        <is>
          <t>Minimum Monthly Cash Flow Threshold</t>
        </is>
      </c>
      <c r="B17" s="67" t="n">
        <v>0</v>
      </c>
      <c r="C17" s="40" t="inlineStr">
        <is>
          <t>US dollars</t>
        </is>
      </c>
    </row>
    <row r="18">
      <c r="A18" s="37" t="inlineStr">
        <is>
          <t>Occupancy Review Threshold</t>
        </is>
      </c>
      <c r="B18" s="66" t="n">
        <v>0.75</v>
      </c>
      <c r="C18" s="37" t="inlineStr">
        <is>
          <t>0.0% to 100.0%</t>
        </is>
      </c>
    </row>
  </sheetData>
  <autoFilter ref="A3:B18"/>
  <mergeCells count="1">
    <mergeCell ref="A1:E1"/>
  </mergeCells>
  <dataValidations count="11">
    <dataValidation sqref="B5" showDropDown="0" showInputMessage="0" showErrorMessage="0" allowBlank="0" errorTitle="Review Projection Start" error="Enter a projection start date within the displayed planning range." type="date" operator="between">
      <formula1>DATE(2021,1,1)</formula1>
      <formula2>DATE(2036,12,31)</formula2>
    </dataValidation>
    <dataValidation sqref="B6" showDropDown="0" showInputMessage="0" showErrorMessage="0" allowBlank="0" errorTitle="Review Projection Months" error="Enter a whole number from 12 through 60." type="whole" operator="between">
      <formula1>12</formula1>
      <formula2>60</formula2>
    </dataValidation>
    <dataValidation sqref="B7" showDropDown="0" showInputMessage="0" showErrorMessage="0" allowBlank="0" errorTitle="Review Rent Growth" error="Enter a percentage from 0.0% through 25.0%." type="decimal" operator="between">
      <formula1>0</formula1>
      <formula2>0.25</formula2>
    </dataValidation>
    <dataValidation sqref="B8" showDropDown="0" showInputMessage="0" showErrorMessage="0" allowBlank="0" errorTitle="Review Occupancy Ramp" error="Enter a whole number from 1 through 60 months." type="whole" operator="between">
      <formula1>1</formula1>
      <formula2>60</formula2>
    </dataValidation>
    <dataValidation sqref="B9" showDropDown="0" showInputMessage="0" showErrorMessage="0" allowBlank="0" errorTitle="Review Ancillary Income" error="Enter an amount from $0.00 through $500.00." type="decimal" operator="between">
      <formula1>0</formula1>
      <formula2>500</formula2>
    </dataValidation>
    <dataValidation sqref="B10:B12" showDropDown="0" showInputMessage="0" showErrorMessage="0" allowBlank="0" errorTitle="Review Percentage" error="Enter a percentage from 0.0% through 100.0%." type="decimal" operator="between">
      <formula1>0</formula1>
      <formula2>1</formula2>
    </dataValidation>
    <dataValidation sqref="B13" showDropDown="0" showInputMessage="0" showErrorMessage="0" allowBlank="0" errorTitle="Review Fixed Expense" error="Enter a nonnegative monthly amount." type="decimal" operator="between">
      <formula1>0</formula1>
      <formula2>1000000</formula2>
    </dataValidation>
    <dataValidation sqref="B14" showDropDown="0" showInputMessage="0" showErrorMessage="0" allowBlank="0" errorTitle="Review Expense Growth" error="Enter a percentage from 0.0% through 100.0%." type="decimal" operator="between">
      <formula1>0</formula1>
      <formula2>1</formula2>
    </dataValidation>
    <dataValidation sqref="B15:B16" showDropDown="0" showInputMessage="0" showErrorMessage="0" allowBlank="0" errorTitle="Review Monthly Amount" error="Enter a nonnegative monthly amount." type="decimal" operator="between">
      <formula1>0</formula1>
      <formula2>1000000</formula2>
    </dataValidation>
    <dataValidation sqref="B17" showDropDown="0" showInputMessage="0" showErrorMessage="0" allowBlank="0" errorTitle="Review Cash Flow Threshold" error="Enter a monthly threshold between -$1,000,000.00 and $1,000,000.00." type="decimal" operator="between">
      <formula1>-1000000</formula1>
      <formula2>1000000</formula2>
    </dataValidation>
    <dataValidation sqref="B18" showDropDown="0" showInputMessage="0" showErrorMessage="0" allowBlank="0" errorTitle="Review Occupancy Threshold" error="Enter an occupancy threshold from 0.0% through 100.0%." type="decimal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2026-09-11T14:25:29Z</dcterms:created>
  <dcterms:modified xmlns:dcterms="http://purl.org/dc/terms/" xmlns:xsi="http://www.w3.org/2001/XMLSchema-instance" xsi:type="dcterms:W3CDTF">2026-09-11T14:25:29+00:00Z</dcterms:modified>
</cp:coreProperties>
</file>